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mc:AlternateContent xmlns:mc="http://schemas.openxmlformats.org/markup-compatibility/2006">
    <mc:Choice Requires="x15">
      <x15ac:absPath xmlns:x15ac="http://schemas.microsoft.com/office/spreadsheetml/2010/11/ac" url="/Users/daankik/Library/CloudStorage/Dropbox/De Accu Koning/Verkoop/Dealer handboek/2025/Dealer Handbook/"/>
    </mc:Choice>
  </mc:AlternateContent>
  <xr:revisionPtr revIDLastSave="0" documentId="13_ncr:1_{9FE17EBC-183F-AA4A-8E6E-6B3D0F87BF38}" xr6:coauthVersionLast="47" xr6:coauthVersionMax="47" xr10:uidLastSave="{00000000-0000-0000-0000-000000000000}"/>
  <bookViews>
    <workbookView xWindow="-37220" yWindow="500" windowWidth="37220" windowHeight="18600" activeTab="4" xr2:uid="{00000000-000D-0000-FFFF-FFFF00000000}"/>
  </bookViews>
  <sheets>
    <sheet name="1.Explanation_and_contents" sheetId="1" r:id="rId1"/>
    <sheet name="2.Volt-amp-watt" sheetId="2" r:id="rId2"/>
    <sheet name="3.Effective battery capacity" sheetId="3" r:id="rId3"/>
    <sheet name="4.Runtime" sheetId="4" r:id="rId4"/>
    <sheet name="Validation" sheetId="5" r:id="rId5"/>
  </sheets>
  <definedNames>
    <definedName name="Schakelin">'2.Volt-amp-watt'!$S$2:$S$3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9" roundtripDataChecksum="gz3SoOSSh7mLyAnjZ8mAQuMB++62GlMVrDbmxEBssgs="/>
    </ext>
  </extLst>
</workbook>
</file>

<file path=xl/calcChain.xml><?xml version="1.0" encoding="utf-8"?>
<calcChain xmlns="http://schemas.openxmlformats.org/spreadsheetml/2006/main">
  <c r="E14" i="2" l="1"/>
  <c r="B11" i="4" a="1"/>
  <c r="B11" i="4" s="1"/>
  <c r="B10" i="4" a="1"/>
  <c r="B10" i="4" s="1"/>
  <c r="B7" i="4" a="1"/>
  <c r="B7" i="4" s="1"/>
  <c r="F46" i="3" a="1"/>
  <c r="F46" i="3" s="1"/>
  <c r="E46" i="3" a="1"/>
  <c r="E46" i="3" s="1"/>
  <c r="D46" i="3" a="1"/>
  <c r="D46" i="3" s="1"/>
  <c r="F45" i="3" a="1"/>
  <c r="F45" i="3" s="1"/>
  <c r="E45" i="3" a="1"/>
  <c r="E45" i="3" s="1"/>
  <c r="D45" i="3" a="1"/>
  <c r="D45" i="3" s="1"/>
  <c r="F44" i="3" a="1"/>
  <c r="F44" i="3" s="1"/>
  <c r="E44" i="3" a="1"/>
  <c r="E44" i="3" s="1"/>
  <c r="D44" i="3" a="1"/>
  <c r="D44" i="3" s="1"/>
  <c r="F43" i="3" a="1"/>
  <c r="F43" i="3" s="1"/>
  <c r="E43" i="3" a="1"/>
  <c r="E43" i="3" s="1"/>
  <c r="D43" i="3" a="1"/>
  <c r="D43" i="3" s="1"/>
  <c r="F42" i="3" a="1"/>
  <c r="F42" i="3" s="1"/>
  <c r="E42" i="3" a="1"/>
  <c r="E42" i="3" s="1"/>
  <c r="D42" i="3" a="1"/>
  <c r="D42" i="3" s="1"/>
  <c r="F41" i="3" a="1"/>
  <c r="F41" i="3" s="1"/>
  <c r="E41" i="3" a="1"/>
  <c r="E41" i="3" s="1"/>
  <c r="D41" i="3" a="1"/>
  <c r="D41" i="3" s="1"/>
  <c r="F40" i="3" a="1"/>
  <c r="F40" i="3" s="1"/>
  <c r="E40" i="3" a="1"/>
  <c r="E40" i="3" s="1"/>
  <c r="D40" i="3" a="1"/>
  <c r="D40" i="3" s="1"/>
  <c r="F39" i="3" a="1"/>
  <c r="F39" i="3" s="1"/>
  <c r="E39" i="3" a="1"/>
  <c r="E39" i="3" s="1"/>
  <c r="D39" i="3" a="1"/>
  <c r="D39" i="3" s="1"/>
  <c r="F38" i="3" a="1"/>
  <c r="F38" i="3" s="1"/>
  <c r="E38" i="3" a="1"/>
  <c r="E38" i="3" s="1"/>
  <c r="D38" i="3" a="1"/>
  <c r="D38" i="3" s="1"/>
  <c r="C38" i="3" a="1"/>
  <c r="C38" i="3" s="1"/>
  <c r="B38" i="3" a="1"/>
  <c r="B38" i="3" s="1"/>
  <c r="F37" i="3" a="1"/>
  <c r="F37" i="3" s="1"/>
  <c r="E37" i="3" a="1"/>
  <c r="E37" i="3" s="1"/>
  <c r="D37" i="3"/>
  <c r="D37" i="3" a="1"/>
  <c r="C37" i="3" a="1"/>
  <c r="C37" i="3" s="1"/>
  <c r="B37" i="3" a="1"/>
  <c r="B37" i="3" s="1"/>
  <c r="H36" i="3" a="1"/>
  <c r="H36" i="3" s="1"/>
  <c r="G36" i="3" a="1"/>
  <c r="G36" i="3" s="1"/>
  <c r="F36" i="3" a="1"/>
  <c r="F36" i="3" s="1"/>
  <c r="E36" i="3" a="1"/>
  <c r="E36" i="3" s="1"/>
  <c r="D36" i="3" a="1"/>
  <c r="D36" i="3" s="1"/>
  <c r="C36" i="3" a="1"/>
  <c r="C36" i="3" s="1"/>
  <c r="B36" i="3" a="1"/>
  <c r="B36" i="3" s="1"/>
  <c r="D35" i="3" a="1"/>
  <c r="D35" i="3" s="1"/>
  <c r="B35" i="3" a="1"/>
  <c r="B35" i="3" s="1"/>
  <c r="B34" i="3" a="1"/>
  <c r="B34" i="3" s="1"/>
  <c r="B30" i="3" a="1"/>
  <c r="B30" i="3" s="1"/>
  <c r="B29" i="3" a="1"/>
  <c r="B29" i="3" s="1"/>
  <c r="B28" i="3" a="1"/>
  <c r="B28" i="3" s="1"/>
  <c r="B27" i="3" a="1"/>
  <c r="B27" i="3" s="1"/>
  <c r="B26" i="3" a="1"/>
  <c r="B26" i="3" s="1"/>
  <c r="B25" i="3" a="1"/>
  <c r="B25" i="3" s="1"/>
  <c r="B24" i="3"/>
  <c r="B24" i="3" a="1"/>
  <c r="B23" i="3" a="1"/>
  <c r="B23" i="3" s="1"/>
  <c r="B22" i="3" a="1"/>
  <c r="B22" i="3" s="1"/>
  <c r="B20" i="3" a="1"/>
  <c r="B20" i="3" s="1"/>
  <c r="B19" i="3" a="1"/>
  <c r="B19" i="3" s="1"/>
  <c r="B18" i="3" a="1"/>
  <c r="B18" i="3" s="1"/>
  <c r="B17" i="3" a="1"/>
  <c r="B17" i="3" s="1"/>
  <c r="B16" i="3" a="1"/>
  <c r="B16" i="3" s="1"/>
  <c r="B15" i="3" a="1"/>
  <c r="B15" i="3" s="1"/>
  <c r="B14" i="3" a="1"/>
  <c r="B14" i="3" s="1"/>
  <c r="B13" i="3"/>
  <c r="B13" i="3" a="1"/>
  <c r="B12" i="3" a="1"/>
  <c r="B12" i="3" s="1"/>
  <c r="B11" i="3" a="1"/>
  <c r="B11" i="3" s="1"/>
  <c r="B9" i="3" a="1"/>
  <c r="B9" i="3" s="1"/>
  <c r="B8" i="3" a="1"/>
  <c r="B8" i="3" s="1"/>
  <c r="P7" i="3" a="1"/>
  <c r="P7" i="3" s="1"/>
  <c r="B7" i="3" a="1"/>
  <c r="B7" i="3" s="1"/>
  <c r="P6" i="3" a="1"/>
  <c r="P6" i="3" s="1"/>
  <c r="P5" i="3" a="1"/>
  <c r="P5" i="3" s="1"/>
  <c r="F34" i="2" a="1"/>
  <c r="F34" i="2" s="1"/>
  <c r="B34" i="2" a="1"/>
  <c r="B34" i="2" s="1"/>
  <c r="F33" i="2" a="1"/>
  <c r="F33" i="2" s="1"/>
  <c r="B33" i="2" a="1"/>
  <c r="B33" i="2" s="1"/>
  <c r="F32" i="2" a="1"/>
  <c r="F32" i="2" s="1"/>
  <c r="B32" i="2" a="1"/>
  <c r="B32" i="2" s="1"/>
  <c r="B31" i="2" a="1"/>
  <c r="B31" i="2" s="1"/>
  <c r="F30" i="2" a="1"/>
  <c r="F30" i="2" s="1"/>
  <c r="B30" i="2" a="1"/>
  <c r="B30" i="2" s="1"/>
  <c r="F29" i="2" a="1"/>
  <c r="F29" i="2" s="1"/>
  <c r="B29" i="2" a="1"/>
  <c r="B29" i="2" s="1"/>
  <c r="F28" i="2" a="1"/>
  <c r="F28" i="2" s="1"/>
  <c r="B28" i="2" a="1"/>
  <c r="B28" i="2" s="1"/>
  <c r="B27" i="2" a="1"/>
  <c r="B27" i="2" s="1"/>
  <c r="F25" i="2" a="1"/>
  <c r="F25" i="2" s="1"/>
  <c r="B25" i="2" a="1"/>
  <c r="B25" i="2" s="1"/>
  <c r="F24" i="2" a="1"/>
  <c r="F24" i="2" s="1"/>
  <c r="B24" i="2" a="1"/>
  <c r="B24" i="2" s="1"/>
  <c r="F23" i="2" a="1"/>
  <c r="F23" i="2" s="1"/>
  <c r="B23" i="2" a="1"/>
  <c r="B23" i="2" s="1"/>
  <c r="B21" i="2" a="1"/>
  <c r="B21" i="2" s="1"/>
  <c r="F19" i="2" a="1"/>
  <c r="F19" i="2" s="1"/>
  <c r="B19" i="2" a="1"/>
  <c r="B19" i="2" s="1"/>
  <c r="F18" i="2" a="1"/>
  <c r="F18" i="2" s="1"/>
  <c r="B18" i="2" a="1"/>
  <c r="B18" i="2" s="1"/>
  <c r="F17" i="2" a="1"/>
  <c r="F17" i="2" s="1"/>
  <c r="B17" i="2" a="1"/>
  <c r="B17" i="2" s="1"/>
  <c r="B16" i="2" a="1"/>
  <c r="B16" i="2" s="1"/>
  <c r="F14" i="2" a="1"/>
  <c r="F14" i="2" s="1"/>
  <c r="B14" i="2" a="1"/>
  <c r="B14" i="2" s="1"/>
  <c r="F13" i="2" a="1"/>
  <c r="F13" i="2" s="1"/>
  <c r="B13" i="2" a="1"/>
  <c r="B13" i="2" s="1"/>
  <c r="F12" i="2" a="1"/>
  <c r="F12" i="2" s="1"/>
  <c r="B12" i="2" a="1"/>
  <c r="B12" i="2" s="1"/>
  <c r="B11" i="2" a="1"/>
  <c r="B11" i="2" s="1"/>
  <c r="B8" i="2" a="1"/>
  <c r="B8" i="2" s="1"/>
  <c r="B7" i="2" a="1"/>
  <c r="B7" i="2" s="1"/>
  <c r="S3" i="2" a="1"/>
  <c r="S3" i="2" s="1"/>
  <c r="S2" i="2" a="1"/>
  <c r="S2" i="2" s="1"/>
  <c r="C24" i="1" a="1"/>
  <c r="C24" i="1" s="1"/>
  <c r="B23" i="1" a="1"/>
  <c r="B23" i="1" s="1"/>
  <c r="C22" i="1" a="1"/>
  <c r="C22" i="1" s="1"/>
  <c r="B21" i="1" a="1"/>
  <c r="B21" i="1" s="1"/>
  <c r="C20" i="1" a="1"/>
  <c r="C20" i="1" s="1"/>
  <c r="B19" i="1" a="1"/>
  <c r="B19" i="1" s="1"/>
  <c r="C18" i="1" a="1"/>
  <c r="C18" i="1" s="1"/>
  <c r="B17" i="1" a="1"/>
  <c r="B17" i="1" s="1"/>
  <c r="B16" i="1" a="1"/>
  <c r="B16" i="1" s="1"/>
  <c r="H14" i="1" a="1"/>
  <c r="H14" i="1" s="1"/>
  <c r="B14" i="1" a="1"/>
  <c r="B14" i="1" s="1"/>
  <c r="H13" i="1" a="1"/>
  <c r="H13" i="1" s="1"/>
  <c r="B13" i="1" a="1"/>
  <c r="B13" i="1" s="1"/>
  <c r="B12" i="1" a="1"/>
  <c r="B12" i="1" s="1"/>
  <c r="B11" i="1" a="1"/>
  <c r="B11" i="1" s="1"/>
  <c r="B8" i="1" a="1"/>
  <c r="B8" i="1" s="1"/>
  <c r="B7" i="1" a="1"/>
  <c r="B7" i="1" s="1"/>
  <c r="E30" i="3"/>
  <c r="E29" i="3"/>
  <c r="E28" i="3"/>
  <c r="E27" i="3"/>
  <c r="E19" i="2"/>
  <c r="B13" i="4"/>
  <c r="D16" i="4" s="1"/>
  <c r="E16" i="4" s="1"/>
  <c r="E32" i="2"/>
  <c r="AP46" i="3"/>
  <c r="AP45" i="3"/>
  <c r="AP44" i="3"/>
  <c r="AP43" i="3"/>
  <c r="AP42" i="3"/>
  <c r="AP41" i="3"/>
  <c r="AP40" i="3"/>
  <c r="AP39" i="3"/>
  <c r="AP38" i="3"/>
  <c r="AP37" i="3"/>
  <c r="L15" i="4"/>
  <c r="K15" i="4"/>
  <c r="J15" i="4"/>
  <c r="I15" i="4"/>
  <c r="H15" i="4"/>
  <c r="G15" i="4"/>
  <c r="F15" i="4"/>
  <c r="E15" i="4"/>
  <c r="AG46" i="3"/>
  <c r="W46" i="3"/>
  <c r="AG45" i="3"/>
  <c r="W45" i="3"/>
  <c r="AG44" i="3"/>
  <c r="W44" i="3"/>
  <c r="AG43" i="3"/>
  <c r="W43" i="3"/>
  <c r="AG42" i="3"/>
  <c r="W42" i="3"/>
  <c r="AG41" i="3"/>
  <c r="W41" i="3"/>
  <c r="AG40" i="3"/>
  <c r="W40" i="3"/>
  <c r="AG39" i="3"/>
  <c r="W39" i="3"/>
  <c r="AG38" i="3"/>
  <c r="W38" i="3"/>
  <c r="AG37" i="3"/>
  <c r="W37" i="3"/>
  <c r="AF33" i="2"/>
  <c r="AF34" i="2" s="1"/>
  <c r="X33" i="2"/>
  <c r="X34" i="2" s="1"/>
  <c r="E33" i="2"/>
  <c r="AF32" i="2"/>
  <c r="X32" i="2"/>
  <c r="AF25" i="2"/>
  <c r="X25" i="2"/>
  <c r="E25" i="2"/>
  <c r="AF19" i="2"/>
  <c r="X19" i="2"/>
  <c r="AF14" i="2"/>
  <c r="X14" i="2"/>
  <c r="C16" i="4" l="1"/>
  <c r="E16" i="3" a="1"/>
  <c r="E16" i="3" s="1"/>
  <c r="E15" i="3" a="1"/>
  <c r="E15" i="3" s="1"/>
  <c r="E34" i="2"/>
  <c r="AQ43" i="3"/>
  <c r="G43" i="3" s="1" a="1"/>
  <c r="G43" i="3" s="1"/>
  <c r="AQ37" i="3"/>
  <c r="G37" i="3" s="1" a="1"/>
  <c r="G37" i="3" s="1"/>
  <c r="AQ45" i="3"/>
  <c r="G45" i="3" s="1" a="1"/>
  <c r="G45" i="3" s="1"/>
  <c r="AQ40" i="3"/>
  <c r="G40" i="3" s="1" a="1"/>
  <c r="G40" i="3" s="1"/>
  <c r="AQ44" i="3"/>
  <c r="AQ41" i="3"/>
  <c r="AQ38" i="3"/>
  <c r="AQ39" i="3"/>
  <c r="AQ42" i="3"/>
  <c r="AQ46" i="3"/>
  <c r="G46" i="3" s="1" a="1"/>
  <c r="G46" i="3" s="1"/>
  <c r="C18" i="4"/>
  <c r="D18" i="4"/>
  <c r="C17" i="4"/>
  <c r="C20" i="4"/>
  <c r="I16" i="4"/>
  <c r="D17" i="4"/>
  <c r="C19" i="4"/>
  <c r="D20" i="4"/>
  <c r="D19" i="4"/>
  <c r="B15" i="4"/>
  <c r="B17" i="4" s="1"/>
  <c r="AH45" i="3"/>
  <c r="AH41" i="3"/>
  <c r="AH39" i="3"/>
  <c r="X45" i="3"/>
  <c r="AH40" i="3"/>
  <c r="AH44" i="3"/>
  <c r="AH43" i="3"/>
  <c r="X43" i="3"/>
  <c r="AH46" i="3"/>
  <c r="X40" i="3"/>
  <c r="X41" i="3"/>
  <c r="X39" i="3"/>
  <c r="X37" i="3"/>
  <c r="AH38" i="3"/>
  <c r="X38" i="3"/>
  <c r="X46" i="3"/>
  <c r="X44" i="3"/>
  <c r="AH37" i="3"/>
  <c r="AH42" i="3"/>
  <c r="X42" i="3"/>
  <c r="G38" i="3" l="1" a="1"/>
  <c r="G38" i="3" s="1"/>
  <c r="G42" i="3" a="1"/>
  <c r="G42" i="3" s="1"/>
  <c r="G41" i="3" a="1"/>
  <c r="G41" i="3" s="1"/>
  <c r="G39" i="3" a="1"/>
  <c r="G39" i="3" s="1"/>
  <c r="G44" i="3" a="1"/>
  <c r="G44" i="3" s="1"/>
  <c r="L20" i="4"/>
  <c r="F17" i="4"/>
  <c r="AR41" i="3"/>
  <c r="AR43" i="3"/>
  <c r="H43" i="3" s="1" a="1"/>
  <c r="H43" i="3" s="1"/>
  <c r="AR46" i="3"/>
  <c r="H46" i="3" s="1" a="1"/>
  <c r="H46" i="3" s="1"/>
  <c r="AR44" i="3"/>
  <c r="H44" i="3" s="1" a="1"/>
  <c r="H44" i="3" s="1"/>
  <c r="AR40" i="3"/>
  <c r="H40" i="3" s="1" a="1"/>
  <c r="H40" i="3" s="1"/>
  <c r="AR45" i="3"/>
  <c r="AR37" i="3"/>
  <c r="H37" i="3" s="1" a="1"/>
  <c r="H37" i="3" s="1"/>
  <c r="AR42" i="3"/>
  <c r="AR39" i="3"/>
  <c r="AR38" i="3"/>
  <c r="AI38" i="3"/>
  <c r="AI44" i="3"/>
  <c r="AI40" i="3"/>
  <c r="AI39" i="3"/>
  <c r="AI41" i="3"/>
  <c r="AI45" i="3"/>
  <c r="AI42" i="3"/>
  <c r="AI46" i="3"/>
  <c r="AI37" i="3"/>
  <c r="AI43" i="3"/>
  <c r="E17" i="3"/>
  <c r="I19" i="4"/>
  <c r="G19" i="4"/>
  <c r="L19" i="4"/>
  <c r="H20" i="4"/>
  <c r="I20" i="4"/>
  <c r="J20" i="4"/>
  <c r="E19" i="3"/>
  <c r="E18" i="3"/>
  <c r="E20" i="3"/>
  <c r="J18" i="4"/>
  <c r="I17" i="4"/>
  <c r="H16" i="4"/>
  <c r="G17" i="4"/>
  <c r="F16" i="4"/>
  <c r="E18" i="4"/>
  <c r="J17" i="4"/>
  <c r="E17" i="4"/>
  <c r="L18" i="4"/>
  <c r="G18" i="4"/>
  <c r="K17" i="4"/>
  <c r="I18" i="4"/>
  <c r="H18" i="4"/>
  <c r="K18" i="4"/>
  <c r="F18" i="4"/>
  <c r="F19" i="4"/>
  <c r="E19" i="4"/>
  <c r="B16" i="4"/>
  <c r="B18" i="4"/>
  <c r="J19" i="4"/>
  <c r="B20" i="4"/>
  <c r="E20" i="4"/>
  <c r="K20" i="4"/>
  <c r="G20" i="4"/>
  <c r="F20" i="4"/>
  <c r="B19" i="4"/>
  <c r="H19" i="4"/>
  <c r="H17" i="4"/>
  <c r="L17" i="4"/>
  <c r="K19" i="4"/>
  <c r="G16" i="4"/>
  <c r="L16" i="4"/>
  <c r="K16" i="4"/>
  <c r="J16" i="4"/>
  <c r="Y43" i="3"/>
  <c r="Y44" i="3"/>
  <c r="Y37" i="3"/>
  <c r="Y45" i="3"/>
  <c r="Y42" i="3"/>
  <c r="Y39" i="3"/>
  <c r="Y41" i="3"/>
  <c r="Y38" i="3"/>
  <c r="Y46" i="3"/>
  <c r="Y40" i="3"/>
  <c r="H41" i="3" l="1" a="1"/>
  <c r="H41" i="3" s="1"/>
  <c r="H45" i="3" a="1"/>
  <c r="H45" i="3" s="1"/>
  <c r="H38" i="3" a="1"/>
  <c r="H38" i="3" s="1"/>
  <c r="H39" i="3" a="1"/>
  <c r="H39" i="3" s="1"/>
  <c r="H42" i="3" a="1"/>
  <c r="H42" i="3"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<sst xmlns="http://schemas.openxmlformats.org/spreadsheetml/2006/main" count="359" uniqueCount="259">
  <si>
    <t>Choose language</t>
  </si>
  <si>
    <t xml:space="preserve">Berekeningen voor elektrisch varen en visapparatuur </t>
  </si>
  <si>
    <t>Calculations for electric boating and fishing equipment</t>
  </si>
  <si>
    <t>In dit bestand vindt u meerdere handige rekentools voor elektrisch varen en het gebruik van accu's</t>
  </si>
  <si>
    <t>In this document you will find several useful calculation tools for electric boating, battery usage</t>
  </si>
  <si>
    <t>Uitleg</t>
  </si>
  <si>
    <t>Explanation</t>
  </si>
  <si>
    <t>We hebben getracht dit bestand zo gebruiksvriendelijk te maken. Lees de instructies goed door. Indien u nog vragen heeft kunt u altijd contact met ons opnemen</t>
  </si>
  <si>
    <t>We have tried to make this file as user-friendly as possible. Please read the instructions carefully. If you have any further questions please feel free to contact us</t>
  </si>
  <si>
    <t>In dit gehele bestand dient u alle de grijze vakjes in te vullen</t>
  </si>
  <si>
    <t>Deze grijze vakjes vult u in</t>
  </si>
  <si>
    <t>In this entire file, please fill in all the gray cells</t>
  </si>
  <si>
    <t>You fill in these gray cells</t>
  </si>
  <si>
    <t>De uitkomst van de gewenste berekening staat altijd in de groene vakjes</t>
  </si>
  <si>
    <t>In de groene vakjes vindt u de uitkomst van de berekening</t>
  </si>
  <si>
    <t>The result of the calculation is always in the green cells</t>
  </si>
  <si>
    <t>In the green cells you will find the result of the calculation</t>
  </si>
  <si>
    <t>Inhoudsopgave</t>
  </si>
  <si>
    <t>Table of contents</t>
  </si>
  <si>
    <t>Tabblad 1: uitleg en inhoudsopgave</t>
  </si>
  <si>
    <t>Tab 1: explanation and table of contents</t>
  </si>
  <si>
    <t xml:space="preserve">Op dit tabblad bent u nu. </t>
  </si>
  <si>
    <t>You are now on this tab.</t>
  </si>
  <si>
    <t>Tabblad 2: Volt ampere en watt</t>
  </si>
  <si>
    <t>Reken het vermogen en aantal ampere van een elektriscche buitenboordmotor uit. Tevens kunt u hier uw accucapciteit berekenen.</t>
  </si>
  <si>
    <t>Calculate the power and number of amps of an electriscche outboard motor. You can also calculate your battery capacity here.</t>
  </si>
  <si>
    <t>Bereken hier hoe lang u kunt varen aan de hand van uw motor en uw accupakket</t>
  </si>
  <si>
    <t>Calculate here how long you can cruise based on your engine and battery pack</t>
  </si>
  <si>
    <t>Tabblad 4: snelheid en benodigd vermogen</t>
  </si>
  <si>
    <t>Op dit tabblad ziet u de totale vaartijd met verschillende elektrische buitenboormotoren en Rebelcell accu's</t>
  </si>
  <si>
    <t>This tab shows total cruising time with different electric outboard motors and Rebelcell batteries</t>
  </si>
  <si>
    <t>Lijst met voltages</t>
  </si>
  <si>
    <t>In serie</t>
  </si>
  <si>
    <t>Parallel</t>
  </si>
  <si>
    <t>Volt, Ampere en Watt</t>
  </si>
  <si>
    <t>Volts, Amps and Watts</t>
  </si>
  <si>
    <t xml:space="preserve">Op dit tabblad vindt u enkele handige rekentools om snel het vermogen, aantal watt of de capaciteit van uw accu uit te rekenen </t>
  </si>
  <si>
    <t>On this tab you will find some useful calculation tools to quickly calculate the power, number of watts or capacity of your battery</t>
  </si>
  <si>
    <t>Indien u het vermogen (Watt) van uw motor wil weten</t>
  </si>
  <si>
    <t>If you want to know the power (Watts) of your motor</t>
  </si>
  <si>
    <t>Aantal volt (V) van uw motor of apparaat</t>
  </si>
  <si>
    <t>Volt</t>
  </si>
  <si>
    <t>Number of volts (V) of your motor or device</t>
  </si>
  <si>
    <t>Aantal ampere dat de motor trekt</t>
  </si>
  <si>
    <t>Ampere</t>
  </si>
  <si>
    <t>Number of amps the motor draws</t>
  </si>
  <si>
    <t>Het vermogen (Watt) van de motor</t>
  </si>
  <si>
    <t>W</t>
  </si>
  <si>
    <t>The power (Watt) of the motor</t>
  </si>
  <si>
    <t>Indien u de stroomsterkt (ampere) van de motor wilt weten</t>
  </si>
  <si>
    <t>If you want to know the amperage (ampere) of the motor</t>
  </si>
  <si>
    <t>Aantal volt (V) van uw motor</t>
  </si>
  <si>
    <t>Number of volts (V) of your engine</t>
  </si>
  <si>
    <t>Het  vermogen van de motor (Watt)</t>
  </si>
  <si>
    <t>The power of the motor (Watt)</t>
  </si>
  <si>
    <t>Het ampere van de motor</t>
  </si>
  <si>
    <t>A</t>
  </si>
  <si>
    <t>Ampere of the motor</t>
  </si>
  <si>
    <t>Het berekenen van de accucapaciteit</t>
  </si>
  <si>
    <t>Calculating the battery capacity</t>
  </si>
  <si>
    <t>Stel u weet het voltage en het aantal Ah, en u wilt het aantal Wh weten</t>
  </si>
  <si>
    <t>Suppose you know the voltage and the number of Ah, and you want to know the number of Wh</t>
  </si>
  <si>
    <t>Voltage van de accu</t>
  </si>
  <si>
    <t>Voltage of the battery</t>
  </si>
  <si>
    <t>Capaciteit van de accu in Ampere-uur (Ah)</t>
  </si>
  <si>
    <t>Ah</t>
  </si>
  <si>
    <t>Battery capacity in Ampere-hours (Ah)</t>
  </si>
  <si>
    <t>Capaciteit van de accu in Wattuur (Wh)</t>
  </si>
  <si>
    <t>Wh</t>
  </si>
  <si>
    <t>Battery capacity in Watt-hours (Wh)</t>
  </si>
  <si>
    <t>Accu's in serie of parallel schakelen</t>
  </si>
  <si>
    <t>Connecting batteries in series or parallel</t>
  </si>
  <si>
    <t>Hoeveel accu's wilt u schakelen</t>
  </si>
  <si>
    <t>Aantal accu's</t>
  </si>
  <si>
    <t>How many batteries you want to connect</t>
  </si>
  <si>
    <t>Batteries</t>
  </si>
  <si>
    <t>Wat is het voltage per accu</t>
  </si>
  <si>
    <t>V</t>
  </si>
  <si>
    <t>What is the voltage per battery</t>
  </si>
  <si>
    <t>Capaciteit per accu in Ah</t>
  </si>
  <si>
    <t>Capacity per battery in Ah</t>
  </si>
  <si>
    <t>Wilt u de accu's in serie of parallel schakelen?</t>
  </si>
  <si>
    <t>Do you want to connect the batteries in series or parallel?</t>
  </si>
  <si>
    <t>Het berekende voltage</t>
  </si>
  <si>
    <t>The calculated voltage</t>
  </si>
  <si>
    <t>De berekende capaciteit in Ah</t>
  </si>
  <si>
    <t>The calculated capacity in Ah</t>
  </si>
  <si>
    <t>De berekende capaciteit in Wh</t>
  </si>
  <si>
    <t>Calculated capacity in Wh</t>
  </si>
  <si>
    <t>Soorten accu's</t>
  </si>
  <si>
    <t>Peukert</t>
  </si>
  <si>
    <t>Ontlading</t>
  </si>
  <si>
    <t>Lithium</t>
  </si>
  <si>
    <t>AGM</t>
  </si>
  <si>
    <t>Bruikbare accucapaciteit en vaartijd</t>
  </si>
  <si>
    <t>Usable battery capacity and sailing time</t>
  </si>
  <si>
    <t>De aangegeven accu capaciteit verschilt vaak van de bruikbare accucapaciteit. Dit heeft te maken met de peuker exponent.</t>
  </si>
  <si>
    <t>The indicated battery capacity often differs from the usable battery capacity. This is due to the pod exponent.</t>
  </si>
  <si>
    <t>Meer uitleg over bruikbare accucapaciteit kunt u hier vinden</t>
  </si>
  <si>
    <t>More explanation about usable battery capacity can be found here</t>
  </si>
  <si>
    <r>
      <rPr>
        <b/>
        <sz val="12"/>
        <color theme="1"/>
        <rFont val="Century Gothic"/>
        <family val="1"/>
      </rPr>
      <t xml:space="preserve">Berekening bruikbare capaciteit accu indien u de peukert exponent en de maximale ontlading van de accu </t>
    </r>
    <r>
      <rPr>
        <b/>
        <u/>
        <sz val="12"/>
        <color theme="1"/>
        <rFont val="Century Gothic"/>
        <family val="1"/>
      </rPr>
      <t>niet</t>
    </r>
    <r>
      <rPr>
        <b/>
        <sz val="12"/>
        <color theme="1"/>
        <rFont val="Century Gothic"/>
        <family val="1"/>
      </rPr>
      <t xml:space="preserve"> weet</t>
    </r>
  </si>
  <si>
    <t>Calculating usable battery capacity if you do not know the peukert exponent and the maximum discharge of the battery</t>
  </si>
  <si>
    <t>Gegeven aantal Ah (C20)</t>
  </si>
  <si>
    <t>Given number of Ah (C20)</t>
  </si>
  <si>
    <t>Soort accu</t>
  </si>
  <si>
    <t>Type of battery</t>
  </si>
  <si>
    <t>Peukert exponent</t>
  </si>
  <si>
    <t>Maximale ontlading van de accu</t>
  </si>
  <si>
    <t>Maximum discharge of the battery</t>
  </si>
  <si>
    <t>Vaartijd</t>
  </si>
  <si>
    <t>Cruising time</t>
  </si>
  <si>
    <t>Bruikbaar aantal Ah over 20 uur (C20)</t>
  </si>
  <si>
    <t>Usable Ah in 20 hours (C20)</t>
  </si>
  <si>
    <t>Bruikbaar aantal Ah over 5 uur (C5)</t>
  </si>
  <si>
    <t>Usable Ah in 5 hours (C5)</t>
  </si>
  <si>
    <t>Bruikbaar aantal Ah over 3 uur (C3)</t>
  </si>
  <si>
    <t>Usable Ah in 3 hours (C3)</t>
  </si>
  <si>
    <r>
      <rPr>
        <b/>
        <sz val="12"/>
        <color theme="1"/>
        <rFont val="Century Gothic"/>
        <family val="1"/>
      </rPr>
      <t xml:space="preserve">Berekening bruikbare capaciteit accu indien u de peukert exponent en de maximale ontlading van de accu </t>
    </r>
    <r>
      <rPr>
        <b/>
        <u/>
        <sz val="12"/>
        <color theme="1"/>
        <rFont val="Century Gothic"/>
        <family val="1"/>
      </rPr>
      <t>wel</t>
    </r>
    <r>
      <rPr>
        <b/>
        <sz val="12"/>
        <color theme="1"/>
        <rFont val="Century Gothic"/>
        <family val="1"/>
      </rPr>
      <t xml:space="preserve"> weet</t>
    </r>
  </si>
  <si>
    <r>
      <rPr>
        <b/>
        <sz val="12"/>
        <color theme="1"/>
        <rFont val="Century Gothic"/>
        <family val="1"/>
      </rPr>
      <t xml:space="preserve">Usable battery capacity if you </t>
    </r>
    <r>
      <rPr>
        <b/>
        <u/>
        <sz val="12"/>
        <color theme="1"/>
        <rFont val="Century Gothic (Body)"/>
      </rPr>
      <t xml:space="preserve">do know </t>
    </r>
    <r>
      <rPr>
        <b/>
        <sz val="12"/>
        <color theme="1"/>
        <rFont val="Century Gothic"/>
        <family val="1"/>
      </rPr>
      <t>the peukert exponent and the maximum discharge of the battery</t>
    </r>
  </si>
  <si>
    <t>Number of amps drawn by the motor</t>
  </si>
  <si>
    <t>Usable number of Ah in 20 hours (C20)</t>
  </si>
  <si>
    <t>Voorbeeld 1: de Minn Kota endura Max 55 met een 12V70 Rebelcell</t>
  </si>
  <si>
    <t>Example 1: A Minn Kota endura Max 55 with a 12V70 Rebelcell</t>
  </si>
  <si>
    <t>Minn Kota endura Max 55</t>
  </si>
  <si>
    <t>Aantal Ah C20</t>
  </si>
  <si>
    <t>% op de gashendel</t>
  </si>
  <si>
    <t>Gemeten ampere</t>
  </si>
  <si>
    <t>Vermogen</t>
  </si>
  <si>
    <t>Vaartijd in u</t>
  </si>
  <si>
    <t>Bruikbare accucapcaiteit</t>
  </si>
  <si>
    <t>Ah C20</t>
  </si>
  <si>
    <t>% on throttle</t>
  </si>
  <si>
    <t>Measured ampere</t>
  </si>
  <si>
    <t>Power</t>
  </si>
  <si>
    <t>Sail time in h.</t>
  </si>
  <si>
    <t>Usable battery capacity</t>
  </si>
  <si>
    <t>Vaartijd met verschillende elektrische buitenboordmotoren</t>
  </si>
  <si>
    <t>Cruising time with different electric outboard motors</t>
  </si>
  <si>
    <t>12 volt motoren</t>
  </si>
  <si>
    <t>12 volt motors</t>
  </si>
  <si>
    <t>Minn Kota endura c2 30</t>
  </si>
  <si>
    <t>Kies uw trolling motor/elektrische buitenboordmotor</t>
  </si>
  <si>
    <t>Minn Kota endura MAX 45</t>
  </si>
  <si>
    <t>Choose your trolling motor/electric outboard motor</t>
  </si>
  <si>
    <t>Battery</t>
  </si>
  <si>
    <t xml:space="preserve">12V07 AV </t>
  </si>
  <si>
    <t>12V18 AV</t>
  </si>
  <si>
    <t>12V30 AV</t>
  </si>
  <si>
    <t xml:space="preserve">12V80 PRO </t>
  </si>
  <si>
    <t>Watt</t>
  </si>
  <si>
    <t>Taal</t>
  </si>
  <si>
    <t>Gear / Throttle</t>
  </si>
  <si>
    <t>W: 1 / 20%</t>
  </si>
  <si>
    <t>W: 2 / 40%</t>
  </si>
  <si>
    <t>W: 3 / 60%</t>
  </si>
  <si>
    <t>W: 4 / 80%</t>
  </si>
  <si>
    <t>W: 5 / 100%</t>
  </si>
  <si>
    <t>A: 1 / 20%</t>
  </si>
  <si>
    <t>A: 2 / 40%</t>
  </si>
  <si>
    <t>A: 3 / 60%</t>
  </si>
  <si>
    <t>A: 4 / 80%</t>
  </si>
  <si>
    <t>A: 5 / 100%</t>
  </si>
  <si>
    <t>NL</t>
  </si>
  <si>
    <t>Gear</t>
  </si>
  <si>
    <t>Minn Kota endura c2 34</t>
  </si>
  <si>
    <t>Minn Kota endura c2 40</t>
  </si>
  <si>
    <t>Minn Kota endura c2 45</t>
  </si>
  <si>
    <t>Minn Kota endura c2 50</t>
  </si>
  <si>
    <t>Minn Kota endura c2 55</t>
  </si>
  <si>
    <t>Minn Kota endura MAX 40</t>
  </si>
  <si>
    <t>% on the Throttle</t>
  </si>
  <si>
    <t>Minn Kota endura MAX 50</t>
  </si>
  <si>
    <t>Minn Kota endura MAX 55</t>
  </si>
  <si>
    <t>Talamex tm 30</t>
  </si>
  <si>
    <t>Talamex tm 40</t>
  </si>
  <si>
    <t>Talamex tm 48</t>
  </si>
  <si>
    <t>Talamex tm 58</t>
  </si>
  <si>
    <t>Haswing Osapian 55</t>
  </si>
  <si>
    <t>EN</t>
  </si>
  <si>
    <t>DE</t>
  </si>
  <si>
    <t>Tabblad 3: Bruikbare accucapaciteit en vaartijd</t>
  </si>
  <si>
    <t>Tab 2: Volt amps and watt</t>
  </si>
  <si>
    <t>Tab 3: Effective battery capacity and runtime</t>
  </si>
  <si>
    <t>Tab 4: Speed and required battery</t>
  </si>
  <si>
    <t>In diesem Dokument finden Sie einige nützliche Berechnungshilfen für Elektroboote, Batterieverbrauch</t>
  </si>
  <si>
    <t>Erläuterung</t>
  </si>
  <si>
    <t>Wir haben uns bemüht, diese Datei so benutzerfreundlich wie möglich zu gestalten. Bitte lesen Sie die Anweisungen sorgfältig durch. Wenn Sie weitere Fragen haben, können Sie sich gerne an uns wenden.</t>
  </si>
  <si>
    <t>Inhaltsverzeichnis</t>
  </si>
  <si>
    <t>Registerkarte 1: Erklärung und Inhaltsverzeichnis</t>
  </si>
  <si>
    <t>Sie befinden sich jetzt auf dieser Registerkarte.</t>
  </si>
  <si>
    <t>Registerkarte 2: Volt, Ampere und Watt</t>
  </si>
  <si>
    <t>Berechnen Sie die Leistung und die Amperezahl eines elektrischen Außenbordmotors. Sie können hier auch Ihre Batteriekapazität berechnen.</t>
  </si>
  <si>
    <t>Tab 3: Effektive Batteriekapazität und Laufzeit</t>
  </si>
  <si>
    <t>Berechnen Sie hier, wie lange Sie mit Ihrem Motor und Ihrem Akkupack fahren können.</t>
  </si>
  <si>
    <t>Tab 4: Geschwindigkeit und benötigte Batterie</t>
  </si>
  <si>
    <t>Diese Registerkarte zeigt die Gesamtfahrtzeit mit verschiedenen elektrischen Außenbordmotoren und Rebelcell-Batterien</t>
  </si>
  <si>
    <t xml:space="preserve">Füllen Sie bitte alle grauen Zellen in dieser Datei aus </t>
  </si>
  <si>
    <t>Sie füllen diese grauen Zellen aus</t>
  </si>
  <si>
    <t xml:space="preserve">Das Ergebnis der Berechnung steht immer in den grünen Zellen </t>
  </si>
  <si>
    <t>In den grünen Zellen finden Sie das Ergebnis der Berechnung</t>
  </si>
  <si>
    <t>Auf dieser Registerkarte finden Sie einige nützliche Berechnungshilfen, um schnell die Leistung, die Wattzahl oder die Kapazität Ihrer Batterie zu ermitteln</t>
  </si>
  <si>
    <t>Wenn Sie die Leistung (Watt) Ihres Motors wissen möchten</t>
  </si>
  <si>
    <t>Wenn Sie die Stromstärke (Ampere) des Motors wissen möchten</t>
  </si>
  <si>
    <t>Berechnen der Batteriekapazität</t>
  </si>
  <si>
    <t>Anschluss von Batterien in Reihe oder parallel</t>
  </si>
  <si>
    <t>Möchten Sie die Batterien in Reihe oder parallel schalten?</t>
  </si>
  <si>
    <t>In Reihe</t>
  </si>
  <si>
    <t>Anzahl der Volt (V) Ihres Motors oder Geräts</t>
  </si>
  <si>
    <t>Die Anzahl der Ampere, die der Motor zieht</t>
  </si>
  <si>
    <t>Die Leistung (Watt) des Motors</t>
  </si>
  <si>
    <t>Anzahl der Volt (V) Ihres Motors</t>
  </si>
  <si>
    <t>Die Leistung des Motors (Watt)</t>
  </si>
  <si>
    <t>Ampere des Motors</t>
  </si>
  <si>
    <t>Spannung der Batterie</t>
  </si>
  <si>
    <t>Batteriekapazität in Amperestunden (Ah)</t>
  </si>
  <si>
    <t>Batteriekapazität in Watt-Stunden (Wh)</t>
  </si>
  <si>
    <t>Wie hoch ist die Spannung pro Batterie</t>
  </si>
  <si>
    <t>Kapazität pro Batterie in Ah</t>
  </si>
  <si>
    <t>Die berechnete Spannung</t>
  </si>
  <si>
    <t xml:space="preserve">Die berechnete Kapazität in Ah </t>
  </si>
  <si>
    <t xml:space="preserve">Berechnete Kapazität in Wh </t>
  </si>
  <si>
    <t>Amps</t>
  </si>
  <si>
    <t>In series</t>
  </si>
  <si>
    <t>Nutzbare Akkukapazität und Fahrzeit</t>
  </si>
  <si>
    <t>Die angezeigte Batteriekapazität weicht oft von der nutzbaren Batteriekapazität ab. Dies ist auf den Pod-Exponenten zurückzuführen.</t>
  </si>
  <si>
    <t>Weitere Erklärungen zur nutzbaren Batteriekapazität finden Sie hier</t>
  </si>
  <si>
    <t>Berechnung der nutzbaren Batteriekapazität, wenn Sie den Peukert-Exponenten und die maximale Entladung der Batterie nicht kennen</t>
  </si>
  <si>
    <t>Nutzbare Batteriekapazität, wenn Sie den Peukert-Exponenten und die maximale Entladung der Batterie kennen</t>
  </si>
  <si>
    <t xml:space="preserve">Nutzbare Ah in 20 Stunden (C20) </t>
  </si>
  <si>
    <t>Gegebene Anzahl von Ah (C20)</t>
  </si>
  <si>
    <t>Typ der Batterie</t>
  </si>
  <si>
    <t xml:space="preserve">Anzahl der Ampere, die der Motor zieht </t>
  </si>
  <si>
    <t>Peukert-Exponent</t>
  </si>
  <si>
    <t>Maximale Entladung der Batterie</t>
  </si>
  <si>
    <t>Fahrzeit</t>
  </si>
  <si>
    <t>Nutzbare Ah in 5 Stunden (C5)</t>
  </si>
  <si>
    <t>Nutzbare Ah in 3 Stunden (C3)</t>
  </si>
  <si>
    <t>Anzahl der vom Motor aufgenommenen</t>
  </si>
  <si>
    <t>Nutzbare Ah-Zahl in 20 Stunden (C20)</t>
  </si>
  <si>
    <t xml:space="preserve">Ah C20 </t>
  </si>
  <si>
    <t>Gemessenes Ampere</t>
  </si>
  <si>
    <t>Strom</t>
  </si>
  <si>
    <t>Fahrtzeit in Stunden.</t>
  </si>
  <si>
    <t>Nutzbare Batteriekapazität</t>
  </si>
  <si>
    <t>Rebelcell 12V70 AV</t>
  </si>
  <si>
    <t>12-Volt-Motoren</t>
  </si>
  <si>
    <t>Wählen Sie Ihren Trolling-Motor/Elektro-Außenbordmotor</t>
  </si>
  <si>
    <t>Berechnungen für elektrisches Bootfahren und Angelausrüstung</t>
  </si>
  <si>
    <t>Volt, Ampere und Watt</t>
  </si>
  <si>
    <t>Angenommen, Sie kennen die Spannung und die Anzahl der Ah, und Sie möchten die Anzahl der Wh wissen</t>
  </si>
  <si>
    <t xml:space="preserve">Wie viele Batterien möchten Sie anschließen </t>
  </si>
  <si>
    <t>Beispiel 1: Ein Minn Kota Endura Max 55 mit einer 12V70 Rebelcell</t>
  </si>
  <si>
    <t>Minn Kota Endura Max 55</t>
  </si>
  <si>
    <t>% vom Gas/Schub</t>
  </si>
  <si>
    <t>Fahrzeit mit verschiedenen elektrischen Außenbordmotoren</t>
  </si>
  <si>
    <t xml:space="preserve">12V120 PRO </t>
  </si>
  <si>
    <t>Edge 12V75</t>
  </si>
  <si>
    <t>Edge 12V105</t>
  </si>
  <si>
    <t>Edge 12V210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</si>
</sst>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0\ &quot;Ah&quot;"/>
    <numFmt numFmtId="165" formatCode="0.00\ &quot;u&quot;"/>
    <numFmt numFmtId="166" formatCode="0.00\ &quot;Ah&quot;"/>
    <numFmt numFmtId="167" formatCode="0\ &quot;A&quot;"/>
    <numFmt numFmtId="168" formatCode="0\ &quot;W&quot;"/>
    <numFmt numFmtId="169" formatCode="0\ &quot;Wh&quot;"/>
    <numFmt numFmtId="170" formatCode="0.00\ &quot;h.&quot;"/>
    <numFmt numFmtId="171" formatCode="0&quot; Ah&quot;"/>
    <numFmt numFmtId="172" formatCode="0.00&quot; u&quot;"/>
    <numFmt numFmtId="173" formatCode="0.00&quot; Ah&quot;"/>
    <numFmt numFmtId="174" formatCode="0&quot; A&quot;"/>
    <numFmt numFmtId="175" formatCode="0&quot; W&quot;"/>
  </numFmts>
  <fonts count="18" x14ac:knownFonts="1">
    <font>
      <sz val="12"/>
      <color theme="1"/>
      <name val="Century Gothic"/>
      <scheme val="minor"/>
    </font>
    <font>
      <sz val="12"/>
      <color theme="1"/>
      <name val="Century Gothic"/>
      <family val="1"/>
    </font>
    <font>
      <sz val="12"/>
      <color rgb="FF3F3F3F"/>
      <name val="Century Gothic"/>
      <family val="1"/>
    </font>
    <font>
      <b/>
      <u/>
      <sz val="12"/>
      <color theme="1"/>
      <name val="Century Gothic"/>
      <family val="1"/>
    </font>
    <font>
      <b/>
      <sz val="12"/>
      <color theme="1"/>
      <name val="Century Gothic"/>
      <family val="1"/>
    </font>
    <font>
      <b/>
      <u/>
      <sz val="12"/>
      <color rgb="FF595959"/>
      <name val="Century Gothic"/>
      <family val="1"/>
    </font>
    <font>
      <b/>
      <sz val="12"/>
      <color rgb="FF595959"/>
      <name val="Century Gothic"/>
      <family val="1"/>
    </font>
    <font>
      <b/>
      <sz val="24"/>
      <color rgb="FF3F3F3F"/>
      <name val="Century Gothic"/>
      <family val="1"/>
    </font>
    <font>
      <b/>
      <sz val="14"/>
      <color theme="1"/>
      <name val="Century Gothic"/>
      <family val="1"/>
    </font>
    <font>
      <u/>
      <sz val="12"/>
      <color theme="10"/>
      <name val="Century Gothic"/>
      <family val="1"/>
    </font>
    <font>
      <b/>
      <u/>
      <sz val="12"/>
      <color theme="1"/>
      <name val="Century Gothic (Body)"/>
    </font>
    <font>
      <u/>
      <sz val="12"/>
      <color theme="10"/>
      <name val="Century Gothic"/>
      <family val="1"/>
      <scheme val="minor"/>
    </font>
    <font>
      <sz val="12"/>
      <color indexed="8"/>
      <name val="Century Gothic"/>
      <family val="2"/>
      <charset val="1"/>
    </font>
    <font>
      <b/>
      <sz val="24"/>
      <color indexed="63"/>
      <name val="Century Gothic"/>
      <family val="1"/>
      <charset val="1"/>
    </font>
    <font>
      <sz val="12"/>
      <color indexed="8"/>
      <name val="Century Gothic"/>
      <family val="1"/>
      <charset val="1"/>
    </font>
    <font>
      <b/>
      <sz val="14"/>
      <color indexed="8"/>
      <name val="Century Gothic"/>
      <family val="1"/>
      <charset val="1"/>
    </font>
    <font>
      <b/>
      <sz val="12"/>
      <color indexed="8"/>
      <name val="Century Gothic"/>
      <family val="1"/>
      <charset val="1"/>
    </font>
    <font>
      <u/>
      <sz val="12"/>
      <color indexed="25"/>
      <name val="Century Gothic"/>
      <family val="1"/>
      <charset val="1"/>
    </font>
  </fonts>
  <fills count="11">
    <fill>
      <patternFill patternType="none"/>
    </fill>
    <fill>
      <patternFill patternType="gray125"/>
    </fill>
    <fill>
      <patternFill patternType="solid">
        <fgColor theme="0"/>
        <bgColor theme="0"/>
      </patternFill>
    </fill>
    <fill>
      <patternFill patternType="solid">
        <fgColor rgb="FFD8D8D8"/>
        <bgColor rgb="FFD8D8D8"/>
      </patternFill>
    </fill>
    <fill>
      <patternFill patternType="solid">
        <fgColor rgb="FF92D050"/>
        <bgColor rgb="FF92D050"/>
      </patternFill>
    </fill>
    <fill>
      <patternFill patternType="solid">
        <fgColor theme="8"/>
        <bgColor theme="8"/>
      </patternFill>
    </fill>
    <fill>
      <patternFill patternType="solid">
        <fgColor theme="0"/>
        <bgColor indexed="64"/>
      </patternFill>
    </fill>
    <fill>
      <patternFill patternType="solid">
        <fgColor theme="0"/>
        <bgColor rgb="FF92D050"/>
      </patternFill>
    </fill>
    <fill>
      <patternFill patternType="solid">
        <fgColor theme="0"/>
        <bgColor indexed="34"/>
      </patternFill>
    </fill>
    <fill>
      <patternFill patternType="solid">
        <fgColor theme="0"/>
        <bgColor rgb="FFD8D8D8"/>
      </patternFill>
    </fill>
    <fill>
      <patternFill patternType="solid">
        <fgColor theme="0"/>
        <bgColor theme="8"/>
      </patternFill>
    </fill>
  </fills>
  <borders count="11">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1" fillId="0" borderId="0" applyNumberFormat="0" applyFill="0" applyBorder="0" applyAlignment="0" applyProtection="0"/>
    <xf numFmtId="0" fontId="12" fillId="0" borderId="1"/>
  </cellStyleXfs>
  <cellXfs count="79">
    <xf numFmtId="0" fontId="0" fillId="0" borderId="0" xfId="0"/>
    <xf numFmtId="0" fontId="1" fillId="2" borderId="1" xfId="0" applyFont="1" applyFill="1" applyBorder="1"/>
    <xf numFmtId="0" fontId="2" fillId="2" borderId="1" xfId="0" applyFont="1" applyFill="1" applyBorder="1"/>
    <xf numFmtId="0" fontId="3" fillId="2" borderId="1" xfId="0" applyFont="1" applyFill="1" applyBorder="1"/>
    <xf numFmtId="0" fontId="4" fillId="2" borderId="1" xfId="0" applyFont="1" applyFill="1" applyBorder="1"/>
    <xf numFmtId="0" fontId="5" fillId="2" borderId="1" xfId="0" applyFont="1" applyFill="1" applyBorder="1"/>
    <xf numFmtId="0" fontId="6" fillId="2" borderId="1" xfId="0" applyFont="1" applyFill="1" applyBorder="1"/>
    <xf numFmtId="49" fontId="6" fillId="2" borderId="1" xfId="0" applyNumberFormat="1" applyFont="1" applyFill="1" applyBorder="1"/>
    <xf numFmtId="0" fontId="7" fillId="2" borderId="1" xfId="0" applyFont="1" applyFill="1" applyBorder="1"/>
    <xf numFmtId="0" fontId="8" fillId="2" borderId="1" xfId="0" applyFont="1" applyFill="1" applyBorder="1"/>
    <xf numFmtId="0" fontId="1" fillId="3" borderId="3" xfId="0" applyFont="1" applyFill="1" applyBorder="1"/>
    <xf numFmtId="0" fontId="1" fillId="3" borderId="4" xfId="0" applyFont="1" applyFill="1" applyBorder="1"/>
    <xf numFmtId="0" fontId="1" fillId="3" borderId="5" xfId="0" applyFont="1" applyFill="1" applyBorder="1"/>
    <xf numFmtId="0" fontId="1" fillId="4" borderId="3" xfId="0" applyFont="1" applyFill="1" applyBorder="1"/>
    <xf numFmtId="0" fontId="1" fillId="4" borderId="4" xfId="0" applyFont="1" applyFill="1" applyBorder="1"/>
    <xf numFmtId="0" fontId="1" fillId="4" borderId="5" xfId="0" applyFont="1" applyFill="1" applyBorder="1"/>
    <xf numFmtId="0" fontId="9" fillId="2" borderId="1" xfId="0" applyFont="1" applyFill="1" applyBorder="1"/>
    <xf numFmtId="0" fontId="1" fillId="4" borderId="2" xfId="0" applyFont="1" applyFill="1" applyBorder="1"/>
    <xf numFmtId="0" fontId="1" fillId="5" borderId="2" xfId="0" applyFont="1" applyFill="1" applyBorder="1"/>
    <xf numFmtId="9" fontId="1" fillId="4" borderId="2" xfId="0" applyNumberFormat="1" applyFont="1" applyFill="1" applyBorder="1"/>
    <xf numFmtId="165" fontId="1" fillId="4" borderId="2" xfId="0" applyNumberFormat="1" applyFont="1" applyFill="1" applyBorder="1"/>
    <xf numFmtId="166" fontId="1" fillId="4" borderId="2" xfId="0" applyNumberFormat="1" applyFont="1" applyFill="1" applyBorder="1"/>
    <xf numFmtId="0" fontId="4" fillId="2" borderId="3" xfId="0" applyFont="1" applyFill="1" applyBorder="1"/>
    <xf numFmtId="0" fontId="1" fillId="2" borderId="5" xfId="0" applyFont="1" applyFill="1" applyBorder="1"/>
    <xf numFmtId="0" fontId="1" fillId="2" borderId="4" xfId="0" applyFont="1" applyFill="1" applyBorder="1"/>
    <xf numFmtId="0" fontId="1" fillId="2" borderId="2" xfId="0" applyFont="1" applyFill="1" applyBorder="1"/>
    <xf numFmtId="0" fontId="1" fillId="2" borderId="3" xfId="0" applyFont="1" applyFill="1" applyBorder="1"/>
    <xf numFmtId="9" fontId="1" fillId="2" borderId="2" xfId="0" applyNumberFormat="1" applyFont="1" applyFill="1" applyBorder="1"/>
    <xf numFmtId="167" fontId="1" fillId="2" borderId="2" xfId="0" applyNumberFormat="1" applyFont="1" applyFill="1" applyBorder="1"/>
    <xf numFmtId="168" fontId="1" fillId="2" borderId="3" xfId="0" applyNumberFormat="1" applyFont="1" applyFill="1" applyBorder="1"/>
    <xf numFmtId="2" fontId="1" fillId="2" borderId="2" xfId="0" applyNumberFormat="1" applyFont="1" applyFill="1" applyBorder="1"/>
    <xf numFmtId="166" fontId="1" fillId="2" borderId="2" xfId="0" applyNumberFormat="1" applyFont="1" applyFill="1" applyBorder="1"/>
    <xf numFmtId="10" fontId="1" fillId="2" borderId="2" xfId="0" applyNumberFormat="1" applyFont="1" applyFill="1" applyBorder="1"/>
    <xf numFmtId="0" fontId="4" fillId="2" borderId="2" xfId="0" applyFont="1" applyFill="1" applyBorder="1"/>
    <xf numFmtId="169" fontId="1" fillId="2" borderId="2" xfId="0" applyNumberFormat="1" applyFont="1" applyFill="1" applyBorder="1"/>
    <xf numFmtId="169" fontId="4" fillId="2" borderId="2" xfId="0" applyNumberFormat="1" applyFont="1" applyFill="1" applyBorder="1"/>
    <xf numFmtId="170" fontId="1" fillId="4" borderId="2" xfId="0" applyNumberFormat="1" applyFont="1" applyFill="1" applyBorder="1"/>
    <xf numFmtId="169" fontId="1" fillId="2" borderId="1" xfId="0" applyNumberFormat="1" applyFont="1" applyFill="1" applyBorder="1"/>
    <xf numFmtId="0" fontId="11" fillId="2" borderId="1" xfId="1" applyFill="1" applyBorder="1"/>
    <xf numFmtId="0" fontId="0" fillId="6" borderId="0" xfId="0" applyFill="1"/>
    <xf numFmtId="169" fontId="4" fillId="2" borderId="1" xfId="0" applyNumberFormat="1" applyFont="1" applyFill="1" applyBorder="1"/>
    <xf numFmtId="167" fontId="1" fillId="2" borderId="1" xfId="0" applyNumberFormat="1" applyFont="1" applyFill="1" applyBorder="1"/>
    <xf numFmtId="0" fontId="0" fillId="6" borderId="1" xfId="0" applyFill="1" applyBorder="1"/>
    <xf numFmtId="170" fontId="1" fillId="7" borderId="1" xfId="0" applyNumberFormat="1" applyFont="1" applyFill="1" applyBorder="1"/>
    <xf numFmtId="0" fontId="1" fillId="3" borderId="2" xfId="0" applyFont="1" applyFill="1" applyBorder="1" applyProtection="1">
      <protection locked="0"/>
    </xf>
    <xf numFmtId="164" fontId="1" fillId="3" borderId="2" xfId="0" applyNumberFormat="1" applyFont="1" applyFill="1" applyBorder="1" applyProtection="1">
      <protection locked="0"/>
    </xf>
    <xf numFmtId="9" fontId="1" fillId="3" borderId="2" xfId="0" applyNumberFormat="1" applyFont="1" applyFill="1" applyBorder="1" applyProtection="1">
      <protection locked="0"/>
    </xf>
    <xf numFmtId="2" fontId="1" fillId="4" borderId="2" xfId="0" applyNumberFormat="1" applyFont="1" applyFill="1" applyBorder="1"/>
    <xf numFmtId="0" fontId="13" fillId="8" borderId="1" xfId="2" applyFont="1" applyFill="1"/>
    <xf numFmtId="0" fontId="14" fillId="8" borderId="1" xfId="2" applyFont="1" applyFill="1"/>
    <xf numFmtId="0" fontId="15" fillId="8" borderId="1" xfId="2" applyFont="1" applyFill="1"/>
    <xf numFmtId="0" fontId="1" fillId="9" borderId="3" xfId="0" applyFont="1" applyFill="1" applyBorder="1"/>
    <xf numFmtId="0" fontId="14" fillId="8" borderId="6" xfId="2" applyFont="1" applyFill="1" applyBorder="1"/>
    <xf numFmtId="0" fontId="1" fillId="7" borderId="3" xfId="0" applyFont="1" applyFill="1" applyBorder="1"/>
    <xf numFmtId="0" fontId="16" fillId="8" borderId="1" xfId="2" applyFont="1" applyFill="1"/>
    <xf numFmtId="0" fontId="17" fillId="8" borderId="1" xfId="2" applyFont="1" applyFill="1"/>
    <xf numFmtId="0" fontId="12" fillId="6" borderId="1" xfId="2" applyFill="1"/>
    <xf numFmtId="0" fontId="1" fillId="9" borderId="2" xfId="0" applyFont="1" applyFill="1" applyBorder="1"/>
    <xf numFmtId="0" fontId="14" fillId="8" borderId="7" xfId="2" applyFont="1" applyFill="1" applyBorder="1"/>
    <xf numFmtId="0" fontId="1" fillId="7" borderId="2" xfId="0" applyFont="1" applyFill="1" applyBorder="1"/>
    <xf numFmtId="0" fontId="1" fillId="10" borderId="2" xfId="0" applyFont="1" applyFill="1" applyBorder="1"/>
    <xf numFmtId="0" fontId="12" fillId="8" borderId="1" xfId="2" applyFill="1"/>
    <xf numFmtId="164" fontId="1" fillId="9" borderId="2" xfId="0" applyNumberFormat="1" applyFont="1" applyFill="1" applyBorder="1"/>
    <xf numFmtId="171" fontId="14" fillId="8" borderId="7" xfId="2" applyNumberFormat="1" applyFont="1" applyFill="1" applyBorder="1"/>
    <xf numFmtId="9" fontId="1" fillId="7" borderId="2" xfId="0" applyNumberFormat="1" applyFont="1" applyFill="1" applyBorder="1"/>
    <xf numFmtId="9" fontId="14" fillId="8" borderId="7" xfId="2" applyNumberFormat="1" applyFont="1" applyFill="1" applyBorder="1"/>
    <xf numFmtId="165" fontId="1" fillId="7" borderId="2" xfId="0" applyNumberFormat="1" applyFont="1" applyFill="1" applyBorder="1"/>
    <xf numFmtId="172" fontId="14" fillId="8" borderId="7" xfId="2" applyNumberFormat="1" applyFont="1" applyFill="1" applyBorder="1"/>
    <xf numFmtId="166" fontId="1" fillId="7" borderId="2" xfId="0" applyNumberFormat="1" applyFont="1" applyFill="1" applyBorder="1"/>
    <xf numFmtId="173" fontId="14" fillId="8" borderId="7" xfId="2" applyNumberFormat="1" applyFont="1" applyFill="1" applyBorder="1"/>
    <xf numFmtId="9" fontId="1" fillId="9" borderId="2" xfId="0" applyNumberFormat="1" applyFont="1" applyFill="1" applyBorder="1"/>
    <xf numFmtId="0" fontId="16" fillId="8" borderId="6" xfId="2" applyFont="1" applyFill="1" applyBorder="1"/>
    <xf numFmtId="0" fontId="14" fillId="8" borderId="8" xfId="2" applyFont="1" applyFill="1" applyBorder="1"/>
    <xf numFmtId="0" fontId="14" fillId="8" borderId="9" xfId="2" applyFont="1" applyFill="1" applyBorder="1"/>
    <xf numFmtId="174" fontId="14" fillId="8" borderId="7" xfId="2" applyNumberFormat="1" applyFont="1" applyFill="1" applyBorder="1"/>
    <xf numFmtId="175" fontId="14" fillId="8" borderId="6" xfId="2" applyNumberFormat="1" applyFont="1" applyFill="1" applyBorder="1"/>
    <xf numFmtId="2" fontId="14" fillId="8" borderId="7" xfId="2" applyNumberFormat="1" applyFont="1" applyFill="1" applyBorder="1"/>
    <xf numFmtId="10" fontId="14" fillId="8" borderId="7" xfId="2" applyNumberFormat="1" applyFont="1" applyFill="1" applyBorder="1"/>
    <xf numFmtId="169" fontId="1" fillId="2" borderId="10" xfId="0" applyNumberFormat="1" applyFont="1" applyFill="1" applyBorder="1"/>
  </cellXfs>
  <cellStyles count="3">
    <cellStyle name="Excel Built-in Normal" xfId="2" xr:uid="{20C12EDD-644E-C94A-AF8A-F01C5DD359C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eetMetadata" Target="metadata.xml"/><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247650</xdr:colOff>
      <xdr:row>1</xdr:row>
      <xdr:rowOff>161925</xdr:rowOff>
    </xdr:from>
    <xdr:ext cx="2352675" cy="4381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38100</xdr:colOff>
      <xdr:row>1</xdr:row>
      <xdr:rowOff>76200</xdr:rowOff>
    </xdr:from>
    <xdr:ext cx="2381250" cy="438150"/>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238125</xdr:colOff>
      <xdr:row>1</xdr:row>
      <xdr:rowOff>38100</xdr:rowOff>
    </xdr:from>
    <xdr:ext cx="2352675" cy="438150"/>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238125</xdr:colOff>
      <xdr:row>1</xdr:row>
      <xdr:rowOff>38100</xdr:rowOff>
    </xdr:from>
    <xdr:ext cx="2381250" cy="438150"/>
    <xdr:pic>
      <xdr:nvPicPr>
        <xdr:cNvPr id="2" name="image1.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2C7C9F"/>
      </a:accent1>
      <a:accent2>
        <a:srgbClr val="244A58"/>
      </a:accent2>
      <a:accent3>
        <a:srgbClr val="E2751D"/>
      </a:accent3>
      <a:accent4>
        <a:srgbClr val="FFB400"/>
      </a:accent4>
      <a:accent5>
        <a:srgbClr val="7EB606"/>
      </a:accent5>
      <a:accent6>
        <a:srgbClr val="C00000"/>
      </a:accent6>
      <a:hlink>
        <a:srgbClr val="7030A0"/>
      </a:hlink>
      <a:folHlink>
        <a:srgbClr val="7030A0"/>
      </a:folHlink>
    </a:clrScheme>
    <a:fontScheme name="Sheets">
      <a:majorFont>
        <a:latin typeface="Century Gothic"/>
        <a:ea typeface="Century Gothic"/>
        <a:cs typeface="Century Gothic"/>
      </a:majorFont>
      <a:minorFont>
        <a:latin typeface="Century Gothic"/>
        <a:ea typeface="Century Gothic"/>
        <a:cs typeface="Century Gothic"/>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www.rebel-cell.com/nl/kennisbank/ontlading-capaciteit-accus/"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000"/>
  <sheetViews>
    <sheetView workbookViewId="0">
      <selection activeCell="D6" sqref="D6"/>
    </sheetView>
  </sheetViews>
  <sheetFormatPr baseColWidth="10" defaultColWidth="11.28515625" defaultRowHeight="15" customHeight="1" x14ac:dyDescent="0.2"/>
  <cols>
    <col min="1" max="1" width="3.42578125" style="39" customWidth="1"/>
    <col min="2" max="7" width="10.7109375" style="39" customWidth="1"/>
    <col min="8" max="8" width="29.7109375" style="39" customWidth="1"/>
    <col min="9" max="9" width="10.7109375" style="39" customWidth="1"/>
    <col min="10" max="10" width="12.5703125" style="39" customWidth="1"/>
    <col min="11" max="16" width="10.7109375" style="39" customWidth="1"/>
    <col min="17" max="33" width="10.5703125" style="39" hidden="1" customWidth="1"/>
    <col min="34" max="47" width="11.28515625" style="39" hidden="1" customWidth="1"/>
    <col min="48" max="49" width="11.28515625" style="39" customWidth="1"/>
    <col min="50" max="16384" width="11.28515625" style="39"/>
  </cols>
  <sheetData>
    <row r="1" spans="1:45" ht="15.75"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row>
    <row r="2" spans="1:45" ht="15.75" customHeight="1" x14ac:dyDescent="0.2">
      <c r="A2" s="1"/>
      <c r="B2" s="1"/>
      <c r="C2" s="1"/>
      <c r="D2" s="1"/>
      <c r="E2" s="1"/>
      <c r="F2" s="1"/>
      <c r="G2" s="2"/>
      <c r="H2" s="3"/>
      <c r="I2" s="4"/>
      <c r="J2" s="1"/>
      <c r="K2" s="1"/>
      <c r="L2" s="1"/>
      <c r="M2" s="1"/>
      <c r="N2" s="1"/>
      <c r="O2" s="1"/>
      <c r="P2" s="1"/>
      <c r="Q2" s="1"/>
      <c r="R2" s="1"/>
      <c r="S2" s="1"/>
      <c r="T2" s="1"/>
      <c r="U2" s="1"/>
      <c r="V2" s="1"/>
      <c r="W2" s="1"/>
      <c r="X2" s="1"/>
      <c r="Y2" s="1"/>
      <c r="Z2" s="1"/>
      <c r="AA2" s="1"/>
      <c r="AB2" s="1"/>
      <c r="AC2" s="1"/>
      <c r="AD2" s="1"/>
      <c r="AE2" s="1"/>
      <c r="AF2" s="1"/>
      <c r="AG2" s="1"/>
    </row>
    <row r="3" spans="1:45" ht="15.75" customHeight="1" x14ac:dyDescent="0.2">
      <c r="A3" s="1"/>
      <c r="B3" s="1"/>
      <c r="C3" s="1"/>
      <c r="D3" s="1"/>
      <c r="E3" s="1"/>
      <c r="F3" s="1"/>
      <c r="G3" s="2"/>
      <c r="H3" s="5"/>
      <c r="I3" s="6"/>
      <c r="J3" s="1"/>
      <c r="K3" s="1"/>
      <c r="L3" s="1"/>
      <c r="M3" s="1"/>
      <c r="N3" s="1"/>
      <c r="O3" s="1"/>
      <c r="P3" s="1"/>
      <c r="Q3" s="1"/>
      <c r="R3" s="1"/>
      <c r="S3" s="1"/>
      <c r="T3" s="1"/>
      <c r="U3" s="1"/>
      <c r="V3" s="1"/>
      <c r="W3" s="1"/>
      <c r="X3" s="1"/>
      <c r="Y3" s="1"/>
      <c r="Z3" s="1"/>
      <c r="AA3" s="1"/>
      <c r="AB3" s="1"/>
      <c r="AC3" s="1"/>
      <c r="AD3" s="1"/>
      <c r="AE3" s="1"/>
      <c r="AF3" s="1"/>
      <c r="AG3" s="1"/>
    </row>
    <row r="4" spans="1:45" ht="15.75" customHeight="1" x14ac:dyDescent="0.2">
      <c r="A4" s="1"/>
      <c r="B4" s="1"/>
      <c r="C4" s="1"/>
      <c r="D4" s="1"/>
      <c r="E4" s="1"/>
      <c r="F4" s="1"/>
      <c r="G4" s="2"/>
      <c r="H4" s="7"/>
      <c r="I4" s="6"/>
      <c r="J4" s="1"/>
      <c r="K4" s="1"/>
      <c r="L4" s="1"/>
      <c r="M4" s="1"/>
      <c r="N4" s="1"/>
      <c r="O4" s="1"/>
      <c r="P4" s="1"/>
      <c r="Q4" s="1"/>
      <c r="R4" s="1"/>
      <c r="S4" s="1"/>
      <c r="T4" s="1"/>
      <c r="U4" s="1"/>
      <c r="V4" s="1"/>
      <c r="W4" s="1"/>
      <c r="X4" s="1"/>
      <c r="Y4" s="1"/>
      <c r="Z4" s="1"/>
      <c r="AA4" s="1"/>
      <c r="AB4" s="1"/>
      <c r="AC4" s="1"/>
      <c r="AD4" s="1"/>
      <c r="AE4" s="1"/>
      <c r="AF4" s="1"/>
      <c r="AG4" s="1"/>
    </row>
    <row r="5" spans="1:45" ht="15.75" customHeight="1" x14ac:dyDescent="0.2">
      <c r="A5" s="1"/>
      <c r="B5" s="1"/>
      <c r="C5" s="1"/>
      <c r="D5" s="1"/>
      <c r="E5" s="1"/>
      <c r="F5" s="1"/>
      <c r="G5" s="2"/>
      <c r="H5" s="7"/>
      <c r="I5" s="6"/>
      <c r="J5" s="1"/>
      <c r="K5" s="1"/>
      <c r="L5" s="1"/>
      <c r="M5" s="1"/>
      <c r="N5" s="1"/>
      <c r="O5" s="1"/>
      <c r="P5" s="1"/>
      <c r="Q5" s="1"/>
      <c r="R5" s="1"/>
      <c r="S5" s="1"/>
      <c r="T5" s="1"/>
      <c r="U5" s="1"/>
      <c r="V5" s="1"/>
      <c r="W5" s="1"/>
      <c r="X5" s="1"/>
      <c r="Y5" s="1"/>
      <c r="Z5" s="1"/>
      <c r="AA5" s="1"/>
      <c r="AB5" s="1"/>
      <c r="AC5" s="1"/>
      <c r="AD5" s="1"/>
      <c r="AE5" s="1"/>
      <c r="AF5" s="1"/>
      <c r="AG5" s="1"/>
    </row>
    <row r="6" spans="1:45" ht="15.75" customHeight="1" x14ac:dyDescent="0.2">
      <c r="A6" s="1"/>
      <c r="B6" s="4" t="s">
        <v>0</v>
      </c>
      <c r="C6" s="1"/>
      <c r="D6" s="44" t="s">
        <v>178</v>
      </c>
      <c r="E6" s="4"/>
      <c r="F6" s="1"/>
      <c r="G6" s="1"/>
      <c r="H6" s="1"/>
      <c r="I6" s="4"/>
      <c r="J6" s="1"/>
      <c r="K6" s="1"/>
      <c r="L6" s="1"/>
      <c r="M6" s="1"/>
      <c r="N6" s="1"/>
      <c r="O6" s="1"/>
      <c r="P6" s="1"/>
      <c r="Q6" s="1"/>
      <c r="R6" s="1"/>
      <c r="S6" s="1"/>
      <c r="T6" s="1"/>
      <c r="U6" s="1"/>
      <c r="V6" s="1"/>
      <c r="W6" s="1"/>
      <c r="X6" s="1"/>
      <c r="Y6" s="1"/>
      <c r="Z6" s="1"/>
      <c r="AA6" s="1"/>
      <c r="AB6" s="1"/>
      <c r="AC6" s="1"/>
      <c r="AD6" s="1"/>
      <c r="AE6" s="1"/>
      <c r="AF6" s="1"/>
      <c r="AG6" s="1"/>
    </row>
    <row r="7" spans="1:45" ht="30" x14ac:dyDescent="0.3">
      <c r="A7" s="1"/>
      <c r="B7" s="8" t="str" cm="1">
        <f t="array" ref="B7">_xlfn.IFS($D$6=Validation!$O$2,Q7,$D$6=Validation!$O$3,AA7,$D$6=Validation!$O$4,AM7)</f>
        <v>Calculations for electric boating and fishing equipment</v>
      </c>
      <c r="C7" s="1"/>
      <c r="D7" s="1"/>
      <c r="E7" s="1"/>
      <c r="F7" s="1"/>
      <c r="G7" s="1"/>
      <c r="H7" s="1"/>
      <c r="I7" s="1"/>
      <c r="J7" s="1"/>
      <c r="K7" s="1"/>
      <c r="L7" s="1"/>
      <c r="M7" s="1"/>
      <c r="N7" s="1"/>
      <c r="O7" s="1"/>
      <c r="P7" s="1"/>
      <c r="Q7" s="8" t="s">
        <v>1</v>
      </c>
      <c r="R7" s="1"/>
      <c r="S7" s="1"/>
      <c r="T7" s="1"/>
      <c r="U7" s="1"/>
      <c r="V7" s="1"/>
      <c r="W7" s="1"/>
      <c r="X7" s="1"/>
      <c r="Y7" s="1"/>
      <c r="Z7" s="1"/>
      <c r="AA7" s="8" t="s">
        <v>2</v>
      </c>
      <c r="AB7" s="1"/>
      <c r="AC7" s="1"/>
      <c r="AD7" s="1"/>
      <c r="AE7" s="1"/>
      <c r="AF7" s="1"/>
      <c r="AG7" s="1"/>
      <c r="AM7" s="48" t="s">
        <v>247</v>
      </c>
      <c r="AN7" s="49"/>
      <c r="AO7" s="49"/>
      <c r="AP7" s="49"/>
      <c r="AQ7" s="49"/>
      <c r="AR7" s="49"/>
      <c r="AS7" s="49"/>
    </row>
    <row r="8" spans="1:45" ht="15.75" customHeight="1" x14ac:dyDescent="0.2">
      <c r="A8" s="1"/>
      <c r="B8" s="1" t="str" cm="1">
        <f t="array" ref="B8">_xlfn.IFS($D$6=Validation!$O$2,Q8,$D$6=Validation!$O$3,AA8,$D$6=Validation!$O$4,AM8)</f>
        <v>In this document you will find several useful calculation tools for electric boating, battery usage</v>
      </c>
      <c r="C8" s="1"/>
      <c r="D8" s="1"/>
      <c r="E8" s="1"/>
      <c r="F8" s="1"/>
      <c r="G8" s="1"/>
      <c r="H8" s="1"/>
      <c r="I8" s="1"/>
      <c r="J8" s="1"/>
      <c r="K8" s="1"/>
      <c r="L8" s="1"/>
      <c r="M8" s="1"/>
      <c r="N8" s="1"/>
      <c r="O8" s="1"/>
      <c r="P8" s="1"/>
      <c r="Q8" s="1" t="s">
        <v>3</v>
      </c>
      <c r="R8" s="1"/>
      <c r="S8" s="1"/>
      <c r="T8" s="1"/>
      <c r="U8" s="1"/>
      <c r="V8" s="1"/>
      <c r="W8" s="1"/>
      <c r="X8" s="1"/>
      <c r="Y8" s="1"/>
      <c r="Z8" s="1"/>
      <c r="AA8" s="1" t="s">
        <v>4</v>
      </c>
      <c r="AB8" s="1"/>
      <c r="AC8" s="1"/>
      <c r="AD8" s="1"/>
      <c r="AE8" s="1"/>
      <c r="AF8" s="1"/>
      <c r="AG8" s="1"/>
      <c r="AM8" s="49" t="s">
        <v>184</v>
      </c>
      <c r="AN8" s="49"/>
      <c r="AO8" s="49"/>
      <c r="AP8" s="49"/>
      <c r="AQ8" s="49"/>
      <c r="AR8" s="49"/>
      <c r="AS8" s="49"/>
    </row>
    <row r="9" spans="1:45" ht="15.75" customHeight="1" x14ac:dyDescent="0.2">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M9" s="49"/>
      <c r="AN9" s="49"/>
      <c r="AO9" s="49"/>
      <c r="AP9" s="49"/>
      <c r="AQ9" s="49"/>
      <c r="AR9" s="49"/>
      <c r="AS9" s="49"/>
    </row>
    <row r="10" spans="1:45" ht="15.75" customHeight="1" x14ac:dyDescent="0.2">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M10" s="49"/>
      <c r="AN10" s="49"/>
      <c r="AO10" s="49"/>
      <c r="AP10" s="49"/>
      <c r="AQ10" s="49"/>
      <c r="AR10" s="49"/>
      <c r="AS10" s="49"/>
    </row>
    <row r="11" spans="1:45" ht="15.75" customHeight="1" x14ac:dyDescent="0.2">
      <c r="A11" s="1"/>
      <c r="B11" s="9" t="str" cm="1">
        <f t="array" ref="B11">_xlfn.IFS($D$6=Validation!$O$2,Q11,$D$6=Validation!$O$3,AA11,$D$6=Validation!$O$4,AM11)</f>
        <v>Explanation</v>
      </c>
      <c r="C11" s="1"/>
      <c r="D11" s="1"/>
      <c r="E11" s="1"/>
      <c r="F11" s="1"/>
      <c r="G11" s="1"/>
      <c r="H11" s="1"/>
      <c r="I11" s="1"/>
      <c r="J11" s="1"/>
      <c r="K11" s="1"/>
      <c r="L11" s="1"/>
      <c r="M11" s="1"/>
      <c r="N11" s="1"/>
      <c r="O11" s="1"/>
      <c r="P11" s="1"/>
      <c r="Q11" s="9" t="s">
        <v>5</v>
      </c>
      <c r="R11" s="1"/>
      <c r="S11" s="1"/>
      <c r="T11" s="1"/>
      <c r="U11" s="1"/>
      <c r="V11" s="1"/>
      <c r="W11" s="1"/>
      <c r="X11" s="1"/>
      <c r="Y11" s="1"/>
      <c r="Z11" s="1"/>
      <c r="AA11" s="9" t="s">
        <v>6</v>
      </c>
      <c r="AB11" s="1"/>
      <c r="AC11" s="1"/>
      <c r="AD11" s="1"/>
      <c r="AE11" s="1"/>
      <c r="AF11" s="1"/>
      <c r="AG11" s="1"/>
      <c r="AM11" s="50" t="s">
        <v>185</v>
      </c>
      <c r="AN11" s="49"/>
      <c r="AO11" s="49"/>
      <c r="AP11" s="49"/>
      <c r="AQ11" s="49"/>
      <c r="AR11" s="49"/>
      <c r="AS11" s="49"/>
    </row>
    <row r="12" spans="1:45" ht="15.75" customHeight="1" x14ac:dyDescent="0.2">
      <c r="A12" s="1"/>
      <c r="B12" s="1" t="str" cm="1">
        <f t="array" ref="B12">_xlfn.IFS($D$6=Validation!$O$2,Q12,$D$6=Validation!$O$3,AA12,$D$6=Validation!$O$4,AM12)</f>
        <v>We have tried to make this file as user-friendly as possible. Please read the instructions carefully. If you have any further questions please feel free to contact us</v>
      </c>
      <c r="C12" s="1"/>
      <c r="D12" s="1"/>
      <c r="E12" s="1"/>
      <c r="F12" s="1"/>
      <c r="G12" s="1"/>
      <c r="H12" s="1"/>
      <c r="I12" s="1"/>
      <c r="J12" s="1"/>
      <c r="K12" s="1"/>
      <c r="L12" s="1"/>
      <c r="M12" s="1"/>
      <c r="N12" s="1"/>
      <c r="O12" s="1"/>
      <c r="P12" s="1"/>
      <c r="Q12" s="1" t="s">
        <v>7</v>
      </c>
      <c r="R12" s="1"/>
      <c r="S12" s="1"/>
      <c r="T12" s="1"/>
      <c r="U12" s="1"/>
      <c r="V12" s="1"/>
      <c r="W12" s="1"/>
      <c r="X12" s="1"/>
      <c r="Y12" s="1"/>
      <c r="Z12" s="1"/>
      <c r="AA12" s="1" t="s">
        <v>8</v>
      </c>
      <c r="AB12" s="1"/>
      <c r="AC12" s="1"/>
      <c r="AD12" s="1"/>
      <c r="AE12" s="1"/>
      <c r="AF12" s="1"/>
      <c r="AG12" s="1"/>
      <c r="AM12" s="49" t="s">
        <v>186</v>
      </c>
      <c r="AN12" s="49"/>
      <c r="AO12" s="49"/>
      <c r="AP12" s="49"/>
      <c r="AQ12" s="49"/>
      <c r="AR12" s="49"/>
      <c r="AS12" s="49"/>
    </row>
    <row r="13" spans="1:45" ht="15.75" customHeight="1" x14ac:dyDescent="0.2">
      <c r="A13" s="1"/>
      <c r="B13" s="1" t="str" cm="1">
        <f t="array" ref="B13">_xlfn.IFS($D$6=Validation!$O$2,Q13,$D$6=Validation!$O$3,AA13,$D$6=Validation!$O$4,AM13)</f>
        <v>In this entire file, please fill in all the gray cells</v>
      </c>
      <c r="C13" s="1"/>
      <c r="D13" s="1"/>
      <c r="E13" s="1"/>
      <c r="F13" s="1"/>
      <c r="G13" s="1"/>
      <c r="H13" s="10" t="str" cm="1">
        <f t="array" ref="H13">_xlfn.IFS($D$6=Validation!$O$2,W13,$D$6=Validation!$O$3,AG13,$D$6=Validation!$O$4,AS13)</f>
        <v>You fill in these gray cells</v>
      </c>
      <c r="I13" s="11"/>
      <c r="J13" s="12"/>
      <c r="K13" s="1"/>
      <c r="L13" s="1"/>
      <c r="M13" s="1"/>
      <c r="N13" s="1"/>
      <c r="O13" s="1"/>
      <c r="P13" s="1"/>
      <c r="Q13" s="1" t="s">
        <v>9</v>
      </c>
      <c r="R13" s="1"/>
      <c r="S13" s="1"/>
      <c r="T13" s="1"/>
      <c r="U13" s="1"/>
      <c r="V13" s="1"/>
      <c r="W13" s="51" t="s">
        <v>10</v>
      </c>
      <c r="X13" s="1"/>
      <c r="Y13" s="1"/>
      <c r="Z13" s="1"/>
      <c r="AA13" s="1" t="s">
        <v>11</v>
      </c>
      <c r="AB13" s="1"/>
      <c r="AC13" s="1"/>
      <c r="AD13" s="1"/>
      <c r="AE13" s="1"/>
      <c r="AF13" s="1"/>
      <c r="AG13" s="51" t="s">
        <v>12</v>
      </c>
      <c r="AM13" s="49" t="s">
        <v>196</v>
      </c>
      <c r="AN13" s="49"/>
      <c r="AO13" s="49"/>
      <c r="AP13" s="49"/>
      <c r="AQ13" s="49"/>
      <c r="AR13" s="49"/>
      <c r="AS13" s="52" t="s">
        <v>197</v>
      </c>
    </row>
    <row r="14" spans="1:45" ht="15.75" customHeight="1" x14ac:dyDescent="0.2">
      <c r="A14" s="1"/>
      <c r="B14" s="1" t="str" cm="1">
        <f t="array" ref="B14">_xlfn.IFS($D$6=Validation!$O$2,Q14,$D$6=Validation!$O$3,AA14,$D$6=Validation!$O$4,AM14)</f>
        <v>The result of the calculation is always in the green cells</v>
      </c>
      <c r="C14" s="1"/>
      <c r="D14" s="1"/>
      <c r="E14" s="1"/>
      <c r="F14" s="1"/>
      <c r="G14" s="1"/>
      <c r="H14" s="13" t="str" cm="1">
        <f t="array" ref="H14">_xlfn.IFS($D$6=Validation!$O$2,W14,$D$6=Validation!$O$3,AG14,$D$6=Validation!$O$4,AS14)</f>
        <v>In the green cells you will find the result of the calculation</v>
      </c>
      <c r="I14" s="14"/>
      <c r="J14" s="15"/>
      <c r="K14" s="1"/>
      <c r="L14" s="1"/>
      <c r="M14" s="1"/>
      <c r="N14" s="1"/>
      <c r="O14" s="1"/>
      <c r="P14" s="1"/>
      <c r="Q14" s="1" t="s">
        <v>13</v>
      </c>
      <c r="R14" s="1"/>
      <c r="S14" s="1"/>
      <c r="T14" s="1"/>
      <c r="U14" s="1"/>
      <c r="V14" s="1"/>
      <c r="W14" s="53" t="s">
        <v>14</v>
      </c>
      <c r="X14" s="1"/>
      <c r="Y14" s="1"/>
      <c r="Z14" s="1"/>
      <c r="AA14" s="1" t="s">
        <v>15</v>
      </c>
      <c r="AB14" s="1"/>
      <c r="AC14" s="1"/>
      <c r="AD14" s="1"/>
      <c r="AE14" s="1"/>
      <c r="AF14" s="1"/>
      <c r="AG14" s="53" t="s">
        <v>16</v>
      </c>
      <c r="AM14" s="49" t="s">
        <v>198</v>
      </c>
      <c r="AN14" s="49"/>
      <c r="AO14" s="49"/>
      <c r="AP14" s="49"/>
      <c r="AQ14" s="49"/>
      <c r="AR14" s="49"/>
      <c r="AS14" s="52" t="s">
        <v>199</v>
      </c>
    </row>
    <row r="15" spans="1:45" ht="15.75" customHeight="1" x14ac:dyDescent="0.2">
      <c r="A15" s="1"/>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M15" s="49"/>
      <c r="AN15" s="49"/>
      <c r="AO15" s="49"/>
      <c r="AP15" s="49"/>
      <c r="AQ15" s="49"/>
      <c r="AR15" s="49"/>
      <c r="AS15" s="49"/>
    </row>
    <row r="16" spans="1:45" ht="15.75" customHeight="1" x14ac:dyDescent="0.2">
      <c r="A16" s="1"/>
      <c r="B16" s="9" t="str" cm="1">
        <f t="array" ref="B16">_xlfn.IFS($D$6=Validation!$O$2,Q16,$D$6=Validation!$O$3,AA16,$D$6=Validation!$O$4,AM16)</f>
        <v>Table of contents</v>
      </c>
      <c r="C16" s="1"/>
      <c r="D16" s="1"/>
      <c r="E16" s="1"/>
      <c r="F16" s="1"/>
      <c r="G16" s="1"/>
      <c r="H16" s="1"/>
      <c r="I16" s="1"/>
      <c r="J16" s="1"/>
      <c r="K16" s="1"/>
      <c r="L16" s="1"/>
      <c r="M16" s="1"/>
      <c r="N16" s="1"/>
      <c r="O16" s="1"/>
      <c r="P16" s="1"/>
      <c r="Q16" s="9" t="s">
        <v>17</v>
      </c>
      <c r="R16" s="1"/>
      <c r="S16" s="1"/>
      <c r="T16" s="1"/>
      <c r="U16" s="1"/>
      <c r="V16" s="1"/>
      <c r="W16" s="1"/>
      <c r="X16" s="1"/>
      <c r="Y16" s="1"/>
      <c r="Z16" s="1"/>
      <c r="AA16" s="9" t="s">
        <v>18</v>
      </c>
      <c r="AB16" s="1"/>
      <c r="AC16" s="1"/>
      <c r="AD16" s="1"/>
      <c r="AE16" s="1"/>
      <c r="AF16" s="1"/>
      <c r="AG16" s="1"/>
      <c r="AM16" s="50" t="s">
        <v>187</v>
      </c>
      <c r="AN16" s="49"/>
      <c r="AO16" s="49"/>
      <c r="AP16" s="49"/>
      <c r="AQ16" s="49"/>
      <c r="AR16" s="49"/>
      <c r="AS16" s="49"/>
    </row>
    <row r="17" spans="1:45" ht="15.75" customHeight="1" x14ac:dyDescent="0.2">
      <c r="A17" s="1"/>
      <c r="B17" s="4" t="str" cm="1">
        <f t="array" ref="B17">_xlfn.IFS($D$6=Validation!$O$2,Q17,$D$6=Validation!$O$3,AA17,$D$6=Validation!$O$4,AM17)</f>
        <v>Tab 1: explanation and table of contents</v>
      </c>
      <c r="C17" s="1"/>
      <c r="D17" s="1"/>
      <c r="E17" s="1"/>
      <c r="F17" s="1"/>
      <c r="G17" s="1"/>
      <c r="H17" s="1"/>
      <c r="I17" s="1"/>
      <c r="J17" s="1"/>
      <c r="K17" s="1"/>
      <c r="L17" s="1"/>
      <c r="M17" s="1"/>
      <c r="N17" s="1"/>
      <c r="O17" s="1"/>
      <c r="P17" s="1"/>
      <c r="Q17" s="4" t="s">
        <v>19</v>
      </c>
      <c r="R17" s="1"/>
      <c r="S17" s="1"/>
      <c r="T17" s="1"/>
      <c r="U17" s="1"/>
      <c r="V17" s="1"/>
      <c r="W17" s="1"/>
      <c r="X17" s="1"/>
      <c r="Y17" s="1"/>
      <c r="Z17" s="1"/>
      <c r="AA17" s="4" t="s">
        <v>20</v>
      </c>
      <c r="AB17" s="1"/>
      <c r="AC17" s="1"/>
      <c r="AD17" s="1"/>
      <c r="AE17" s="1"/>
      <c r="AF17" s="1"/>
      <c r="AG17" s="1"/>
      <c r="AM17" s="54" t="s">
        <v>188</v>
      </c>
      <c r="AN17" s="49"/>
      <c r="AO17" s="49"/>
      <c r="AP17" s="49"/>
      <c r="AQ17" s="49"/>
      <c r="AR17" s="49"/>
      <c r="AS17" s="49"/>
    </row>
    <row r="18" spans="1:45" ht="15.75" customHeight="1" x14ac:dyDescent="0.2">
      <c r="A18" s="1"/>
      <c r="B18" s="1"/>
      <c r="C18" s="1" t="str" cm="1">
        <f t="array" ref="C18">_xlfn.IFS($D$6=Validation!$O$2,R18,$D$6=Validation!$O$3,AB18,$D$6=Validation!$O$4,AN18)</f>
        <v>You are now on this tab.</v>
      </c>
      <c r="D18" s="1"/>
      <c r="E18" s="1"/>
      <c r="F18" s="1"/>
      <c r="G18" s="1"/>
      <c r="H18" s="1"/>
      <c r="I18" s="1"/>
      <c r="J18" s="1"/>
      <c r="K18" s="1"/>
      <c r="L18" s="1"/>
      <c r="M18" s="1"/>
      <c r="N18" s="1"/>
      <c r="O18" s="1"/>
      <c r="P18" s="1"/>
      <c r="Q18" s="1"/>
      <c r="R18" s="1" t="s">
        <v>21</v>
      </c>
      <c r="S18" s="1"/>
      <c r="T18" s="1"/>
      <c r="U18" s="1"/>
      <c r="V18" s="1"/>
      <c r="W18" s="1"/>
      <c r="X18" s="1"/>
      <c r="Y18" s="1"/>
      <c r="Z18" s="1"/>
      <c r="AA18" s="1"/>
      <c r="AB18" s="1" t="s">
        <v>22</v>
      </c>
      <c r="AC18" s="1"/>
      <c r="AD18" s="1"/>
      <c r="AE18" s="1"/>
      <c r="AF18" s="1"/>
      <c r="AG18" s="1"/>
      <c r="AM18" s="49"/>
      <c r="AN18" s="49" t="s">
        <v>189</v>
      </c>
      <c r="AO18" s="49"/>
      <c r="AP18" s="49"/>
      <c r="AQ18" s="49"/>
      <c r="AR18" s="49"/>
      <c r="AS18" s="49"/>
    </row>
    <row r="19" spans="1:45" ht="15.75" customHeight="1" x14ac:dyDescent="0.2">
      <c r="A19" s="1"/>
      <c r="B19" s="38" t="str" cm="1">
        <f t="array" ref="B19">_xlfn.IFS($D$6=Validation!$O$2,Q19,$D$6=Validation!$O$3,AA19,$D$6=Validation!$O$4,AM19)</f>
        <v>Tab 2: Volt amps and watt</v>
      </c>
      <c r="C19" s="1"/>
      <c r="D19" s="1"/>
      <c r="E19" s="1"/>
      <c r="F19" s="1"/>
      <c r="G19" s="1"/>
      <c r="H19" s="1"/>
      <c r="I19" s="1"/>
      <c r="J19" s="1"/>
      <c r="K19" s="1"/>
      <c r="L19" s="1"/>
      <c r="M19" s="1"/>
      <c r="N19" s="1"/>
      <c r="O19" s="1"/>
      <c r="P19" s="1"/>
      <c r="Q19" s="16" t="s">
        <v>23</v>
      </c>
      <c r="R19" s="1"/>
      <c r="S19" s="1"/>
      <c r="T19" s="1"/>
      <c r="U19" s="1"/>
      <c r="V19" s="1"/>
      <c r="W19" s="1"/>
      <c r="X19" s="1"/>
      <c r="Y19" s="1"/>
      <c r="Z19" s="1"/>
      <c r="AA19" s="16" t="s">
        <v>181</v>
      </c>
      <c r="AB19" s="1"/>
      <c r="AC19" s="1"/>
      <c r="AD19" s="1"/>
      <c r="AE19" s="1"/>
      <c r="AF19" s="1"/>
      <c r="AG19" s="1"/>
      <c r="AM19" s="55" t="s">
        <v>190</v>
      </c>
      <c r="AN19" s="49"/>
      <c r="AO19" s="49"/>
      <c r="AP19" s="49"/>
      <c r="AQ19" s="49"/>
      <c r="AR19" s="49"/>
      <c r="AS19" s="49"/>
    </row>
    <row r="20" spans="1:45" ht="15.75" customHeight="1" x14ac:dyDescent="0.2">
      <c r="A20" s="1"/>
      <c r="B20" s="1"/>
      <c r="C20" s="1" t="str" cm="1">
        <f t="array" ref="C20">_xlfn.IFS($D$6=Validation!$O$2,R20,$D$6=Validation!$O$3,AB20,$D$6=Validation!$O$4,AN20)</f>
        <v>Calculate the power and number of amps of an electriscche outboard motor. You can also calculate your battery capacity here.</v>
      </c>
      <c r="D20" s="1"/>
      <c r="E20" s="1"/>
      <c r="F20" s="1"/>
      <c r="G20" s="1"/>
      <c r="H20" s="1"/>
      <c r="I20" s="1"/>
      <c r="J20" s="1"/>
      <c r="K20" s="1"/>
      <c r="L20" s="1"/>
      <c r="M20" s="1"/>
      <c r="N20" s="1"/>
      <c r="O20" s="1"/>
      <c r="P20" s="1"/>
      <c r="Q20" s="1"/>
      <c r="R20" s="1" t="s">
        <v>24</v>
      </c>
      <c r="S20" s="1"/>
      <c r="T20" s="1"/>
      <c r="U20" s="1"/>
      <c r="V20" s="1"/>
      <c r="W20" s="1"/>
      <c r="X20" s="1"/>
      <c r="Y20" s="1"/>
      <c r="Z20" s="1"/>
      <c r="AA20" s="1"/>
      <c r="AB20" s="1" t="s">
        <v>25</v>
      </c>
      <c r="AC20" s="1"/>
      <c r="AD20" s="1"/>
      <c r="AE20" s="1"/>
      <c r="AF20" s="1"/>
      <c r="AG20" s="1"/>
      <c r="AM20" s="49"/>
      <c r="AN20" s="49" t="s">
        <v>191</v>
      </c>
      <c r="AO20" s="49"/>
      <c r="AP20" s="49"/>
      <c r="AQ20" s="49"/>
      <c r="AR20" s="49"/>
      <c r="AS20" s="49"/>
    </row>
    <row r="21" spans="1:45" ht="15.75" customHeight="1" x14ac:dyDescent="0.2">
      <c r="A21" s="1"/>
      <c r="B21" s="38" t="str" cm="1">
        <f t="array" ref="B21">_xlfn.IFS($D$6=Validation!$O$2,Q21,$D$6=Validation!$O$3,AA21,$D$6=Validation!$O$4,AM21)</f>
        <v>Tab 3: Effective battery capacity and runtime</v>
      </c>
      <c r="C21" s="1"/>
      <c r="D21" s="1"/>
      <c r="E21" s="1"/>
      <c r="F21" s="1"/>
      <c r="G21" s="1"/>
      <c r="H21" s="1"/>
      <c r="I21" s="1"/>
      <c r="J21" s="1"/>
      <c r="K21" s="1"/>
      <c r="L21" s="1"/>
      <c r="M21" s="1"/>
      <c r="N21" s="1"/>
      <c r="O21" s="1"/>
      <c r="P21" s="1"/>
      <c r="Q21" s="16" t="s">
        <v>180</v>
      </c>
      <c r="R21" s="1"/>
      <c r="S21" s="1"/>
      <c r="T21" s="1"/>
      <c r="U21" s="1"/>
      <c r="V21" s="1"/>
      <c r="W21" s="1"/>
      <c r="X21" s="1"/>
      <c r="Y21" s="1"/>
      <c r="Z21" s="1"/>
      <c r="AA21" s="16" t="s">
        <v>182</v>
      </c>
      <c r="AB21" s="1"/>
      <c r="AC21" s="1"/>
      <c r="AD21" s="1"/>
      <c r="AE21" s="1"/>
      <c r="AF21" s="1"/>
      <c r="AG21" s="1"/>
      <c r="AM21" s="55" t="s">
        <v>192</v>
      </c>
      <c r="AN21" s="49"/>
      <c r="AO21" s="49"/>
      <c r="AP21" s="49"/>
      <c r="AQ21" s="49"/>
      <c r="AR21" s="49"/>
      <c r="AS21" s="49"/>
    </row>
    <row r="22" spans="1:45" ht="15.75" customHeight="1" x14ac:dyDescent="0.2">
      <c r="A22" s="1"/>
      <c r="B22" s="1"/>
      <c r="C22" s="1" t="str" cm="1">
        <f t="array" ref="C22">_xlfn.IFS($D$6=Validation!$O$2,R22,$D$6=Validation!$O$3,AB22,$D$6=Validation!$O$4,AN22)</f>
        <v>Calculate here how long you can cruise based on your engine and battery pack</v>
      </c>
      <c r="D22" s="1"/>
      <c r="E22" s="1"/>
      <c r="F22" s="1"/>
      <c r="G22" s="1"/>
      <c r="H22" s="1"/>
      <c r="I22" s="1"/>
      <c r="J22" s="1"/>
      <c r="K22" s="1"/>
      <c r="L22" s="1"/>
      <c r="M22" s="1"/>
      <c r="N22" s="1"/>
      <c r="O22" s="1"/>
      <c r="P22" s="1"/>
      <c r="Q22" s="1"/>
      <c r="R22" s="1" t="s">
        <v>26</v>
      </c>
      <c r="S22" s="1"/>
      <c r="T22" s="1"/>
      <c r="U22" s="1"/>
      <c r="V22" s="1"/>
      <c r="W22" s="1"/>
      <c r="X22" s="1"/>
      <c r="Y22" s="1"/>
      <c r="Z22" s="1"/>
      <c r="AA22" s="1"/>
      <c r="AB22" s="1" t="s">
        <v>27</v>
      </c>
      <c r="AC22" s="1"/>
      <c r="AD22" s="1"/>
      <c r="AE22" s="1"/>
      <c r="AF22" s="1"/>
      <c r="AG22" s="1"/>
      <c r="AM22" s="49"/>
      <c r="AN22" s="49" t="s">
        <v>193</v>
      </c>
      <c r="AO22" s="49"/>
      <c r="AP22" s="49"/>
      <c r="AQ22" s="49"/>
      <c r="AR22" s="49"/>
      <c r="AS22" s="49"/>
    </row>
    <row r="23" spans="1:45" ht="15.75" customHeight="1" x14ac:dyDescent="0.2">
      <c r="A23" s="1"/>
      <c r="B23" s="38" t="str" cm="1">
        <f t="array" ref="B23">_xlfn.IFS($D$6=Validation!$O$2,Q23,$D$6=Validation!$O$3,AA23,$D$6=Validation!$O$4,AM23)</f>
        <v>Tab 4: Speed and required battery</v>
      </c>
      <c r="C23" s="1"/>
      <c r="D23" s="1"/>
      <c r="E23" s="1"/>
      <c r="F23" s="1"/>
      <c r="G23" s="1"/>
      <c r="H23" s="1"/>
      <c r="I23" s="1"/>
      <c r="J23" s="1"/>
      <c r="K23" s="1"/>
      <c r="L23" s="1"/>
      <c r="M23" s="1"/>
      <c r="N23" s="1"/>
      <c r="O23" s="1"/>
      <c r="P23" s="1"/>
      <c r="Q23" s="16" t="s">
        <v>28</v>
      </c>
      <c r="R23" s="1"/>
      <c r="S23" s="1"/>
      <c r="T23" s="1"/>
      <c r="U23" s="1"/>
      <c r="V23" s="1"/>
      <c r="W23" s="1"/>
      <c r="X23" s="1"/>
      <c r="Y23" s="1"/>
      <c r="Z23" s="1"/>
      <c r="AA23" s="16" t="s">
        <v>183</v>
      </c>
      <c r="AB23" s="1"/>
      <c r="AC23" s="1"/>
      <c r="AD23" s="1"/>
      <c r="AE23" s="1"/>
      <c r="AF23" s="1"/>
      <c r="AG23" s="1"/>
      <c r="AM23" s="55" t="s">
        <v>194</v>
      </c>
      <c r="AN23" s="49"/>
      <c r="AO23" s="49"/>
      <c r="AP23" s="49"/>
      <c r="AQ23" s="49"/>
      <c r="AR23" s="49"/>
      <c r="AS23" s="49"/>
    </row>
    <row r="24" spans="1:45" ht="15.75" customHeight="1" x14ac:dyDescent="0.2">
      <c r="A24" s="1"/>
      <c r="B24" s="1"/>
      <c r="C24" s="1" t="str" cm="1">
        <f t="array" ref="C24">_xlfn.IFS($D$6=Validation!$O$2,R24,$D$6=Validation!$O$3,AB24,$D$6=Validation!$O$4,AN24)</f>
        <v>This tab shows total cruising time with different electric outboard motors and Rebelcell batteries</v>
      </c>
      <c r="D24" s="1"/>
      <c r="E24" s="1"/>
      <c r="F24" s="1"/>
      <c r="G24" s="1"/>
      <c r="H24" s="1"/>
      <c r="I24" s="1"/>
      <c r="J24" s="1"/>
      <c r="K24" s="1"/>
      <c r="L24" s="1"/>
      <c r="M24" s="1"/>
      <c r="N24" s="1"/>
      <c r="O24" s="1"/>
      <c r="P24" s="1"/>
      <c r="Q24" s="1"/>
      <c r="R24" s="1" t="s">
        <v>29</v>
      </c>
      <c r="S24" s="1"/>
      <c r="T24" s="1"/>
      <c r="U24" s="1"/>
      <c r="V24" s="1"/>
      <c r="W24" s="1"/>
      <c r="X24" s="1"/>
      <c r="Y24" s="1"/>
      <c r="Z24" s="1"/>
      <c r="AA24" s="1"/>
      <c r="AB24" s="1" t="s">
        <v>30</v>
      </c>
      <c r="AC24" s="1"/>
      <c r="AD24" s="1"/>
      <c r="AE24" s="1"/>
      <c r="AF24" s="1"/>
      <c r="AG24" s="1"/>
      <c r="AM24" s="49"/>
      <c r="AN24" s="49" t="s">
        <v>195</v>
      </c>
      <c r="AO24" s="49"/>
      <c r="AP24" s="49"/>
      <c r="AQ24" s="49"/>
      <c r="AR24" s="49"/>
      <c r="AS24" s="49"/>
    </row>
    <row r="25" spans="1:45" ht="15.75" customHeight="1" x14ac:dyDescent="0.2">
      <c r="A25" s="1"/>
      <c r="B25" s="1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row>
    <row r="26" spans="1:45" ht="15.7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row>
    <row r="27" spans="1:45" ht="15.75" customHeight="1" x14ac:dyDescent="0.2">
      <c r="A27" s="1"/>
      <c r="B27" s="4"/>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row>
    <row r="28" spans="1:45" ht="15.7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row>
    <row r="29" spans="1:45" ht="15.7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row>
    <row r="30" spans="1:45" ht="15.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row>
    <row r="31" spans="1:45" ht="15.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row>
    <row r="32" spans="1:45" ht="15.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row>
    <row r="33" spans="1:33" ht="15.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row>
    <row r="34" spans="1:33" ht="15.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row>
    <row r="35" spans="1:33" ht="15.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row>
    <row r="36" spans="1:33" ht="15.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row>
    <row r="37" spans="1:33" ht="15.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row>
    <row r="38" spans="1:33" ht="15.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row>
    <row r="39" spans="1:33" ht="15.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row>
    <row r="40" spans="1:33" ht="15.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row>
    <row r="41" spans="1:33" ht="15.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row>
    <row r="42" spans="1:33" ht="15.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row>
    <row r="43" spans="1:33" ht="15.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row>
    <row r="44" spans="1:33" ht="15.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row>
    <row r="45" spans="1:33" ht="15.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row>
    <row r="46" spans="1:33" ht="15.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row>
    <row r="47" spans="1:33" ht="15.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row>
    <row r="48" spans="1:33" ht="15.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row>
    <row r="49" spans="1:33" ht="15.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row>
    <row r="50" spans="1:33"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row>
    <row r="51" spans="1:33"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row>
    <row r="52" spans="1:33"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row>
    <row r="53" spans="1:33"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row>
    <row r="54" spans="1:33"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row>
    <row r="55" spans="1:33"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row>
    <row r="56" spans="1:33"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row>
    <row r="57" spans="1:33"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row>
    <row r="58" spans="1:33"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row>
    <row r="59" spans="1:33"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row>
    <row r="60" spans="1:33"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row>
    <row r="61" spans="1:33"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row>
    <row r="62" spans="1:33"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row>
    <row r="63" spans="1:33"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row>
    <row r="64" spans="1:33"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row>
    <row r="65" spans="1:33"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row>
    <row r="66" spans="1:33"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row>
    <row r="67" spans="1:33"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row>
    <row r="68" spans="1:33"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row>
    <row r="69" spans="1:33"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row>
    <row r="70" spans="1:33"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row>
    <row r="71" spans="1:33"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row>
    <row r="72" spans="1:33"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row>
    <row r="73" spans="1:33"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row>
    <row r="74" spans="1:33"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row>
    <row r="75" spans="1:33"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row>
    <row r="76" spans="1:33"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row>
    <row r="77" spans="1:33"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row>
    <row r="78" spans="1:33"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row>
    <row r="79" spans="1:33"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row>
    <row r="80" spans="1:33"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row>
    <row r="81" spans="1:33"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row>
    <row r="82" spans="1:33"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row>
    <row r="83" spans="1:33"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row>
    <row r="84" spans="1:33"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row>
    <row r="85" spans="1:33"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row>
    <row r="86" spans="1:33"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row>
    <row r="87" spans="1:33"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row>
    <row r="88" spans="1:33"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row>
    <row r="89" spans="1:33"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row>
    <row r="90" spans="1:33"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row>
    <row r="91" spans="1:33"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row>
    <row r="92" spans="1:33"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row>
    <row r="93" spans="1:33"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row>
    <row r="94" spans="1:33"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row>
    <row r="95" spans="1:33"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row>
    <row r="96" spans="1:33"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row>
    <row r="97" spans="1:33"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row>
    <row r="98" spans="1:33"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row>
    <row r="99" spans="1:33"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row>
    <row r="100" spans="1:33"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row>
    <row r="101" spans="1:33"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row>
    <row r="102" spans="1:33"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row>
    <row r="103" spans="1:33"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row>
    <row r="104" spans="1:33"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row>
    <row r="105" spans="1:33"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row>
    <row r="106" spans="1:33"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row>
    <row r="107" spans="1:33"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row>
    <row r="108" spans="1:33"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row>
    <row r="109" spans="1:33"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row>
    <row r="110" spans="1:33"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row>
    <row r="111" spans="1:33"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row>
    <row r="112" spans="1:33"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row>
    <row r="113" spans="1:33"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row>
    <row r="114" spans="1:33"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row>
    <row r="115" spans="1:33"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row>
    <row r="116" spans="1:33"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row>
    <row r="117" spans="1:33"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row>
    <row r="118" spans="1:33"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row>
    <row r="119" spans="1:33"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row>
    <row r="120" spans="1:33"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row>
    <row r="121" spans="1:33"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row>
    <row r="122" spans="1:33"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row>
    <row r="123" spans="1:33"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row>
    <row r="124" spans="1:33"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row>
    <row r="125" spans="1:33"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row>
    <row r="126" spans="1:33"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row>
    <row r="127" spans="1:33"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row>
    <row r="128" spans="1:33"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row>
    <row r="129" spans="1:33"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row>
    <row r="130" spans="1:33"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row>
    <row r="131" spans="1:33"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row>
    <row r="132" spans="1:33"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row>
    <row r="133" spans="1:33"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row>
    <row r="134" spans="1:33"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row>
    <row r="135" spans="1:33"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row>
    <row r="136" spans="1:33"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row>
    <row r="137" spans="1:33"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row>
    <row r="138" spans="1:33"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row>
    <row r="139" spans="1:33"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row>
    <row r="140" spans="1:33"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row>
    <row r="141" spans="1:33"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row>
    <row r="142" spans="1:33"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row>
    <row r="143" spans="1:33"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row>
    <row r="144" spans="1:33"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row>
    <row r="145" spans="1:33"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row>
    <row r="146" spans="1:33"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row>
    <row r="147" spans="1:33"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row>
    <row r="148" spans="1:33"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row>
    <row r="149" spans="1:33"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row>
    <row r="150" spans="1:33"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row>
    <row r="151" spans="1:33"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row>
    <row r="152" spans="1:33"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row>
    <row r="153" spans="1:33"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row>
    <row r="154" spans="1:33"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row>
    <row r="155" spans="1:33"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row>
    <row r="156" spans="1:33"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row>
    <row r="157" spans="1:33"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row>
    <row r="158" spans="1:33"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row>
    <row r="159" spans="1:33"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row>
    <row r="160" spans="1:33"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row>
    <row r="161" spans="1:33"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row>
    <row r="162" spans="1:33"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row>
    <row r="163" spans="1:33"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row>
    <row r="164" spans="1:33"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row>
    <row r="165" spans="1:33"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row>
    <row r="166" spans="1:33"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row>
    <row r="167" spans="1:33"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row>
    <row r="168" spans="1:33"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row>
    <row r="169" spans="1:33"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row>
    <row r="170" spans="1:33"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row>
    <row r="171" spans="1:33"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row>
    <row r="172" spans="1:33"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row>
    <row r="173" spans="1:33"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row>
    <row r="174" spans="1:33"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row>
    <row r="175" spans="1:33"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row>
    <row r="176" spans="1:33"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row>
    <row r="177" spans="1:33"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row>
    <row r="178" spans="1:33"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row>
    <row r="179" spans="1:33"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row>
    <row r="180" spans="1:33"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row>
    <row r="181" spans="1:33"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row>
    <row r="182" spans="1:33"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row>
    <row r="183" spans="1:33"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row>
    <row r="184" spans="1:33"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row>
    <row r="185" spans="1:33"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row>
    <row r="186" spans="1:33"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row>
    <row r="187" spans="1:33"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row>
    <row r="188" spans="1:33"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row>
    <row r="189" spans="1:33"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row>
    <row r="190" spans="1:33"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row>
    <row r="191" spans="1:33"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row>
    <row r="192" spans="1:33"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row>
    <row r="193" spans="1:33"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row>
    <row r="194" spans="1:33"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row>
    <row r="195" spans="1:33"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row>
    <row r="196" spans="1:33"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row>
    <row r="197" spans="1:33"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row>
    <row r="198" spans="1:33"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row>
    <row r="199" spans="1:33"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row>
    <row r="200" spans="1:33"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row>
    <row r="201" spans="1:33"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row>
    <row r="202" spans="1:33"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row>
    <row r="203" spans="1:33"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row>
    <row r="204" spans="1:33"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row>
    <row r="205" spans="1:33"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row>
    <row r="206" spans="1:33"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row>
    <row r="207" spans="1:33"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row>
    <row r="208" spans="1:33"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row>
    <row r="209" spans="1:33"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row>
    <row r="210" spans="1:33"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row>
    <row r="211" spans="1:33"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row>
    <row r="212" spans="1:33"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row>
    <row r="213" spans="1:33"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row>
    <row r="214" spans="1:33"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row>
    <row r="215" spans="1:33"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row>
    <row r="216" spans="1:33"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row>
    <row r="217" spans="1:33"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row>
    <row r="218" spans="1:33"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row>
    <row r="219" spans="1:33"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row>
    <row r="220" spans="1:33"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row>
    <row r="221" spans="1:33"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row>
    <row r="222" spans="1:33"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row>
    <row r="223" spans="1:33"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row>
    <row r="224" spans="1:33"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row>
    <row r="225" spans="1:33"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row>
    <row r="226" spans="1:33"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row>
    <row r="227" spans="1:33"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row>
    <row r="228" spans="1:33"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row>
    <row r="229" spans="1:33"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row>
    <row r="230" spans="1:33"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row>
    <row r="231" spans="1:33"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row>
    <row r="232" spans="1:33"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row>
    <row r="233" spans="1:33"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row>
    <row r="234" spans="1:33"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row>
    <row r="235" spans="1:33"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row>
    <row r="236" spans="1:33"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row>
    <row r="237" spans="1:33"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row>
    <row r="238" spans="1:33"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row>
    <row r="239" spans="1:33"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row>
    <row r="240" spans="1:33"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row>
    <row r="241" spans="1:33"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row>
    <row r="242" spans="1:33"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row>
    <row r="243" spans="1:33"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row>
    <row r="244" spans="1:33"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row>
    <row r="245" spans="1:33"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row>
    <row r="246" spans="1:33"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row>
    <row r="247" spans="1:33"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row>
    <row r="248" spans="1:33"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row>
    <row r="249" spans="1:33"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row>
    <row r="250" spans="1:33"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row>
    <row r="251" spans="1:33"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row>
    <row r="252" spans="1:33"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row>
    <row r="253" spans="1:33"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row>
    <row r="254" spans="1:33"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row>
    <row r="255" spans="1:33"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row>
    <row r="256" spans="1:33"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row>
    <row r="257" spans="1:33"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row>
    <row r="258" spans="1:33"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row>
    <row r="259" spans="1:33"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row>
    <row r="260" spans="1:33"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row>
    <row r="261" spans="1:33"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row>
    <row r="262" spans="1:33"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row>
    <row r="263" spans="1:33"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row>
    <row r="264" spans="1:33"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row>
    <row r="265" spans="1:33"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row>
    <row r="266" spans="1:33"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row>
    <row r="267" spans="1:33"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row>
    <row r="268" spans="1:33"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row>
    <row r="269" spans="1:33"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row>
    <row r="270" spans="1:33"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row>
    <row r="271" spans="1:33"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row>
    <row r="272" spans="1:33"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row>
    <row r="273" spans="1:33"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row>
    <row r="274" spans="1:33"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row>
    <row r="275" spans="1:33"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row>
    <row r="276" spans="1:33"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row>
    <row r="277" spans="1:33"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row>
    <row r="278" spans="1:33"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row>
    <row r="279" spans="1:33"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row>
    <row r="280" spans="1:33"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row>
    <row r="281" spans="1:33"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row>
    <row r="282" spans="1:33"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row>
    <row r="283" spans="1:33"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row>
    <row r="284" spans="1:33"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row>
    <row r="285" spans="1:33"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row>
    <row r="286" spans="1:33"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row>
    <row r="287" spans="1:33"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row>
    <row r="288" spans="1:33"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row>
    <row r="289" spans="1:33"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row>
    <row r="290" spans="1:33"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row>
    <row r="291" spans="1:33"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row>
    <row r="292" spans="1:33"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row>
    <row r="293" spans="1:33"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row>
    <row r="294" spans="1:33"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row>
    <row r="295" spans="1:33"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row>
    <row r="296" spans="1:33"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row>
    <row r="297" spans="1:33"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row>
    <row r="298" spans="1:33"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row>
    <row r="299" spans="1:33"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row>
    <row r="300" spans="1:33"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row>
    <row r="301" spans="1:33"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row>
    <row r="302" spans="1:33"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row>
    <row r="303" spans="1:33"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row>
    <row r="304" spans="1:33"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row>
    <row r="305" spans="1:33"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row>
    <row r="306" spans="1:33"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row>
    <row r="307" spans="1:33"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row>
    <row r="308" spans="1:33"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row>
    <row r="309" spans="1:33"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row>
    <row r="310" spans="1:33"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row>
    <row r="311" spans="1:33"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row>
    <row r="312" spans="1:33"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row>
    <row r="313" spans="1:33"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row>
    <row r="314" spans="1:33"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row>
    <row r="315" spans="1:33"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row>
    <row r="316" spans="1:33"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row>
    <row r="317" spans="1:33"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row>
    <row r="318" spans="1:33"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row>
    <row r="319" spans="1:33"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row>
    <row r="320" spans="1:33"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row>
    <row r="321" spans="1:33"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row>
    <row r="322" spans="1:33"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row>
    <row r="323" spans="1:33"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row>
    <row r="324" spans="1:33"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row>
    <row r="325" spans="1:33"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row>
    <row r="326" spans="1:33"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row>
    <row r="327" spans="1:33"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row>
    <row r="328" spans="1:33"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row>
    <row r="329" spans="1:33"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row>
    <row r="330" spans="1:33"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row>
    <row r="331" spans="1:33"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row>
    <row r="332" spans="1:33"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row>
    <row r="333" spans="1:33"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row>
    <row r="334" spans="1:33"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row>
    <row r="335" spans="1:33"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row>
    <row r="336" spans="1:33"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row>
    <row r="337" spans="1:33"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row>
    <row r="338" spans="1:33"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row>
    <row r="339" spans="1:33"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row>
    <row r="340" spans="1:33"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row>
    <row r="341" spans="1:33"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row>
    <row r="342" spans="1:33"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row>
    <row r="343" spans="1:33"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row>
    <row r="344" spans="1:33"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row>
    <row r="345" spans="1:33"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row>
    <row r="346" spans="1:33"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row>
    <row r="347" spans="1:33"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row>
    <row r="348" spans="1:33"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row>
    <row r="349" spans="1:33"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row>
    <row r="350" spans="1:33"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row>
    <row r="351" spans="1:33"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row>
    <row r="352" spans="1:33"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row>
    <row r="353" spans="1:33"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row>
    <row r="354" spans="1:33"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row>
    <row r="355" spans="1:33"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row>
    <row r="356" spans="1:33"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row>
    <row r="357" spans="1:33"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row>
    <row r="358" spans="1:33"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row>
    <row r="359" spans="1:33"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row>
    <row r="360" spans="1:33"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row>
    <row r="361" spans="1:33"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row>
    <row r="362" spans="1:33"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row>
    <row r="363" spans="1:33"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row>
    <row r="364" spans="1:33"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row>
    <row r="365" spans="1:33"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row>
    <row r="366" spans="1:33"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row>
    <row r="367" spans="1:33"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row>
    <row r="368" spans="1:33"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row>
    <row r="369" spans="1:33"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row>
    <row r="370" spans="1:33"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row>
    <row r="371" spans="1:33"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row>
    <row r="372" spans="1:33"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row>
    <row r="373" spans="1:33"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row>
    <row r="374" spans="1:33"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row>
    <row r="375" spans="1:33"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row>
    <row r="376" spans="1:33"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row>
    <row r="377" spans="1:33"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row>
    <row r="378" spans="1:33"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row>
    <row r="379" spans="1:33"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row>
    <row r="380" spans="1:33"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row>
    <row r="381" spans="1:33"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row>
    <row r="382" spans="1:33"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row>
    <row r="383" spans="1:33"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row>
    <row r="384" spans="1:33"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row>
    <row r="385" spans="1:33"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row>
    <row r="386" spans="1:33"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row>
    <row r="387" spans="1:33"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row>
    <row r="388" spans="1:33"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row>
    <row r="389" spans="1:33"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row>
    <row r="390" spans="1:33"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row>
    <row r="391" spans="1:33"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row>
    <row r="392" spans="1:33"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row>
    <row r="393" spans="1:33"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row>
    <row r="394" spans="1:33"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row>
    <row r="395" spans="1:33"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row>
    <row r="396" spans="1:33"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row>
    <row r="397" spans="1:33"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row>
    <row r="398" spans="1:33"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row>
    <row r="399" spans="1:33"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row>
    <row r="400" spans="1:33"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row>
    <row r="401" spans="1:33"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row>
    <row r="402" spans="1:33"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row>
    <row r="403" spans="1:33"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row>
    <row r="404" spans="1:33"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row>
    <row r="405" spans="1:33"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row>
    <row r="406" spans="1:33"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row>
    <row r="407" spans="1:33"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row>
    <row r="408" spans="1:33"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row>
    <row r="409" spans="1:33"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row>
    <row r="410" spans="1:33"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row>
    <row r="411" spans="1:33"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row>
    <row r="412" spans="1:33"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row>
    <row r="413" spans="1:33"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row>
    <row r="414" spans="1:33"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row>
    <row r="415" spans="1:33"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row>
    <row r="416" spans="1:33"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row>
    <row r="417" spans="1:33"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row>
    <row r="418" spans="1:33"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row>
    <row r="419" spans="1:33"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row>
    <row r="420" spans="1:33"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row>
    <row r="421" spans="1:33"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row>
    <row r="422" spans="1:33"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row>
    <row r="423" spans="1:33"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row>
    <row r="424" spans="1:33"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row>
    <row r="425" spans="1:33"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row>
    <row r="426" spans="1:33"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row>
    <row r="427" spans="1:33"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row>
    <row r="428" spans="1:33"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row>
    <row r="429" spans="1:33"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row>
    <row r="430" spans="1:33"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row>
    <row r="431" spans="1:33"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row>
    <row r="432" spans="1:33"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row>
    <row r="433" spans="1:33"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row>
    <row r="434" spans="1:33"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row>
    <row r="435" spans="1:33"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row>
    <row r="436" spans="1:33"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row>
    <row r="437" spans="1:33"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row>
    <row r="438" spans="1:33"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row>
    <row r="439" spans="1:33"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row>
    <row r="440" spans="1:33"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row>
    <row r="441" spans="1:33"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row>
    <row r="442" spans="1:33"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row>
    <row r="443" spans="1:33"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row>
    <row r="444" spans="1:33"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row>
    <row r="445" spans="1:33"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row>
    <row r="446" spans="1:33"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row>
    <row r="447" spans="1:33"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row>
    <row r="448" spans="1:33"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row>
    <row r="449" spans="1:33"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row>
    <row r="450" spans="1:33"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row>
    <row r="451" spans="1:33"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row>
    <row r="452" spans="1:33"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row>
    <row r="453" spans="1:33"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row>
    <row r="454" spans="1:33"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row>
    <row r="455" spans="1:33"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row>
    <row r="456" spans="1:33"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row>
    <row r="457" spans="1:33"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row>
    <row r="458" spans="1:33"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row>
    <row r="459" spans="1:33"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row>
    <row r="460" spans="1:33"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row>
    <row r="461" spans="1:33"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row>
    <row r="462" spans="1:33"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row>
    <row r="463" spans="1:33"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row>
    <row r="464" spans="1:33"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row>
    <row r="465" spans="1:33"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row>
    <row r="466" spans="1:33"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row>
    <row r="467" spans="1:33"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row>
    <row r="468" spans="1:33"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row>
    <row r="469" spans="1:33"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row>
    <row r="470" spans="1:33"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row>
    <row r="471" spans="1:33"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row>
    <row r="472" spans="1:33"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row>
    <row r="473" spans="1:33"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row>
    <row r="474" spans="1:33"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row>
    <row r="475" spans="1:33"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row>
    <row r="476" spans="1:33"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row>
    <row r="477" spans="1:33"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row>
    <row r="478" spans="1:33"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row>
    <row r="479" spans="1:33"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row>
    <row r="480" spans="1:33"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row>
    <row r="481" spans="1:33"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row>
    <row r="482" spans="1:33"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row>
    <row r="483" spans="1:33"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row>
    <row r="484" spans="1:33"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row>
    <row r="485" spans="1:33"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row>
    <row r="486" spans="1:33"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row>
    <row r="487" spans="1:33"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row>
    <row r="488" spans="1:33"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row>
    <row r="489" spans="1:33"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row>
    <row r="490" spans="1:33"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row>
    <row r="491" spans="1:33"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row>
    <row r="492" spans="1:33"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row>
    <row r="493" spans="1:33"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row>
    <row r="494" spans="1:33"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row>
    <row r="495" spans="1:33"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row>
    <row r="496" spans="1:33"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row>
    <row r="497" spans="1:33"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row>
    <row r="498" spans="1:33"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row>
    <row r="499" spans="1:33"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row>
    <row r="500" spans="1:33"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row>
    <row r="501" spans="1:33"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row>
    <row r="502" spans="1:33"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row>
    <row r="503" spans="1:33"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row>
    <row r="504" spans="1:33"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row>
    <row r="505" spans="1:33"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row>
    <row r="506" spans="1:33"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row>
    <row r="507" spans="1:33"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row>
    <row r="508" spans="1:33"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row>
    <row r="509" spans="1:33"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row>
    <row r="510" spans="1:33"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row>
    <row r="511" spans="1:33"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row>
    <row r="512" spans="1:33"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row>
    <row r="513" spans="1:33"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row>
    <row r="514" spans="1:33"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row>
    <row r="515" spans="1:33"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row>
    <row r="516" spans="1:33"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row>
    <row r="517" spans="1:33"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row>
    <row r="518" spans="1:33"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row>
    <row r="519" spans="1:33"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row>
    <row r="520" spans="1:33"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row>
    <row r="521" spans="1:33"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row>
    <row r="522" spans="1:33"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row>
    <row r="523" spans="1:33"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row>
    <row r="524" spans="1:33"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row>
    <row r="525" spans="1:33"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row>
    <row r="526" spans="1:33"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row>
    <row r="527" spans="1:33"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row>
    <row r="528" spans="1:33"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row>
    <row r="529" spans="1:33"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row>
    <row r="530" spans="1:33"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row>
    <row r="531" spans="1:33"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row>
    <row r="532" spans="1:33"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row>
    <row r="533" spans="1:33"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row>
    <row r="534" spans="1:33"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row>
    <row r="535" spans="1:33"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row>
    <row r="536" spans="1:33" ht="15.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row>
    <row r="537" spans="1:33" ht="15.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row>
    <row r="538" spans="1:33" ht="15.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row>
    <row r="539" spans="1:33" ht="15.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row>
    <row r="540" spans="1:33" ht="15.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row>
    <row r="541" spans="1:33" ht="15.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row>
    <row r="542" spans="1:33" ht="15.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row>
    <row r="543" spans="1:33" ht="15.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row>
    <row r="544" spans="1:33" ht="15.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row>
    <row r="545" spans="1:33" ht="15.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row>
    <row r="546" spans="1:33" ht="15.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row>
    <row r="547" spans="1:33" ht="15.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row>
    <row r="548" spans="1:33" ht="15.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row>
    <row r="549" spans="1:33" ht="15.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row>
    <row r="550" spans="1:33" ht="15.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row>
    <row r="551" spans="1:33" ht="15.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row>
    <row r="552" spans="1:33" ht="15.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row>
    <row r="553" spans="1:33" ht="15.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row>
    <row r="554" spans="1:33" ht="15.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row>
    <row r="555" spans="1:33" ht="15.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row>
    <row r="556" spans="1:33" ht="15.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row>
    <row r="557" spans="1:33" ht="15.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row>
    <row r="558" spans="1:33" ht="15.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row>
    <row r="559" spans="1:33" ht="15.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row>
    <row r="560" spans="1:33" ht="15.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row>
    <row r="561" spans="1:33" ht="15.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row>
    <row r="562" spans="1:33" ht="15.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row>
    <row r="563" spans="1:33" ht="15.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row>
    <row r="564" spans="1:33" ht="15.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row>
    <row r="565" spans="1:33" ht="15.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row>
    <row r="566" spans="1:33" ht="15.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row>
    <row r="567" spans="1:33" ht="15.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row>
    <row r="568" spans="1:33" ht="15.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row>
    <row r="569" spans="1:33" ht="15.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row>
    <row r="570" spans="1:33" ht="15.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row>
    <row r="571" spans="1:33" ht="15.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row>
    <row r="572" spans="1:33" ht="15.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row>
    <row r="573" spans="1:33" ht="15.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row>
    <row r="574" spans="1:33" ht="15.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row>
    <row r="575" spans="1:33" ht="15.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row>
    <row r="576" spans="1:33" ht="15.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row>
    <row r="577" spans="1:33" ht="15.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row>
    <row r="578" spans="1:33" ht="15.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row>
    <row r="579" spans="1:33" ht="15.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row>
    <row r="580" spans="1:33" ht="15.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row>
    <row r="581" spans="1:33" ht="15.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row>
    <row r="582" spans="1:33" ht="15.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row>
    <row r="583" spans="1:33" ht="15.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row>
    <row r="584" spans="1:33" ht="15.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row>
    <row r="585" spans="1:33" ht="15.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row>
    <row r="586" spans="1:33" ht="15.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row>
    <row r="587" spans="1:33" ht="15.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row>
    <row r="588" spans="1:33" ht="15.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row>
    <row r="589" spans="1:33" ht="15.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row>
    <row r="590" spans="1:33" ht="15.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row>
    <row r="591" spans="1:33" ht="15.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row>
    <row r="592" spans="1:33" ht="15.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row>
    <row r="593" spans="1:33" ht="15.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row>
    <row r="594" spans="1:33" ht="15.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row>
    <row r="595" spans="1:33" ht="15.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row>
    <row r="596" spans="1:33" ht="15.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row>
    <row r="597" spans="1:33" ht="15.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row>
    <row r="598" spans="1:33" ht="15.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row>
    <row r="599" spans="1:33" ht="15.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row>
    <row r="600" spans="1:33" ht="15.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row>
    <row r="601" spans="1:33" ht="15.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row>
    <row r="602" spans="1:33" ht="15.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row>
    <row r="603" spans="1:33" ht="15.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row>
    <row r="604" spans="1:33" ht="15.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row>
    <row r="605" spans="1:33" ht="15.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row>
    <row r="606" spans="1:33" ht="15.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row>
    <row r="607" spans="1:33" ht="15.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row>
    <row r="608" spans="1:33" ht="15.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row>
    <row r="609" spans="1:33" ht="15.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row>
    <row r="610" spans="1:33" ht="15.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row>
    <row r="611" spans="1:33" ht="15.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row>
    <row r="612" spans="1:33" ht="15.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row>
    <row r="613" spans="1:33" ht="15.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row>
    <row r="614" spans="1:33" ht="15.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row>
    <row r="615" spans="1:33" ht="15.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row>
    <row r="616" spans="1:33" ht="15.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row>
    <row r="617" spans="1:33" ht="15.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row>
    <row r="618" spans="1:33" ht="15.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row>
    <row r="619" spans="1:33" ht="15.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row>
    <row r="620" spans="1:33" ht="15.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row>
    <row r="621" spans="1:33" ht="15.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row>
    <row r="622" spans="1:33" ht="15.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row>
    <row r="623" spans="1:33" ht="15.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row>
    <row r="624" spans="1:33" ht="15.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row>
    <row r="625" spans="1:33" ht="15.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row>
    <row r="626" spans="1:33" ht="15.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row>
    <row r="627" spans="1:33" ht="15.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row>
    <row r="628" spans="1:33" ht="15.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row>
    <row r="629" spans="1:33" ht="15.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row>
    <row r="630" spans="1:33" ht="15.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row>
    <row r="631" spans="1:33" ht="15.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row>
    <row r="632" spans="1:33" ht="15.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row>
    <row r="633" spans="1:33" ht="15.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row>
    <row r="634" spans="1:33" ht="15.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row>
    <row r="635" spans="1:33" ht="15.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row>
    <row r="636" spans="1:33" ht="15.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row>
    <row r="637" spans="1:33" ht="15.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row>
    <row r="638" spans="1:33" ht="15.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row>
    <row r="639" spans="1:33" ht="15.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row>
    <row r="640" spans="1:33" ht="15.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row>
    <row r="641" spans="1:33" ht="15.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row>
    <row r="642" spans="1:33" ht="15.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row>
    <row r="643" spans="1:33" ht="15.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row>
    <row r="644" spans="1:33" ht="15.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row>
    <row r="645" spans="1:33" ht="15.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row>
    <row r="646" spans="1:33" ht="15.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row>
    <row r="647" spans="1:33" ht="15.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row>
    <row r="648" spans="1:33" ht="15.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row>
    <row r="649" spans="1:33" ht="15.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row>
    <row r="650" spans="1:33" ht="15.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row>
    <row r="651" spans="1:33" ht="15.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row>
    <row r="652" spans="1:33" ht="15.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row>
    <row r="653" spans="1:33" ht="15.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row>
    <row r="654" spans="1:33" ht="15.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row>
    <row r="655" spans="1:33" ht="15.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row>
    <row r="656" spans="1:33" ht="15.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row>
    <row r="657" spans="1:33" ht="15.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row>
    <row r="658" spans="1:33" ht="15.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row>
    <row r="659" spans="1:33" ht="15.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row>
    <row r="660" spans="1:33" ht="15.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row>
    <row r="661" spans="1:33" ht="15.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row>
    <row r="662" spans="1:33" ht="15.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row>
    <row r="663" spans="1:33" ht="15.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row>
    <row r="664" spans="1:33" ht="15.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row>
    <row r="665" spans="1:33" ht="15.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row>
    <row r="666" spans="1:33" ht="15.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row>
    <row r="667" spans="1:33" ht="15.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row>
    <row r="668" spans="1:33" ht="15.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row>
    <row r="669" spans="1:33" ht="15.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row>
    <row r="670" spans="1:33" ht="15.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row>
    <row r="671" spans="1:33" ht="15.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row>
    <row r="672" spans="1:33" ht="15.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row>
    <row r="673" spans="1:33" ht="15.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row>
    <row r="674" spans="1:33" ht="15.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row>
    <row r="675" spans="1:33" ht="15.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row>
    <row r="676" spans="1:33" ht="15.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row>
    <row r="677" spans="1:33" ht="15.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row>
    <row r="678" spans="1:33" ht="15.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row>
    <row r="679" spans="1:33" ht="15.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row>
    <row r="680" spans="1:33" ht="15.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row>
    <row r="681" spans="1:33" ht="15.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row>
    <row r="682" spans="1:33" ht="15.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row>
    <row r="683" spans="1:33" ht="15.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row>
    <row r="684" spans="1:33" ht="15.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row>
    <row r="685" spans="1:33" ht="15.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row>
    <row r="686" spans="1:33" ht="15.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row>
    <row r="687" spans="1:33" ht="15.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row>
    <row r="688" spans="1:33" ht="15.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row>
    <row r="689" spans="1:33" ht="15.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row>
    <row r="690" spans="1:33" ht="15.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row>
    <row r="691" spans="1:33" ht="15.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row>
    <row r="692" spans="1:33" ht="15.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row>
    <row r="693" spans="1:33" ht="15.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row>
    <row r="694" spans="1:33" ht="15.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row>
    <row r="695" spans="1:33" ht="15.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row>
    <row r="696" spans="1:33" ht="15.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row>
    <row r="697" spans="1:33" ht="15.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row>
    <row r="698" spans="1:33" ht="15.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row>
    <row r="699" spans="1:33" ht="15.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row>
    <row r="700" spans="1:33" ht="15.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row>
    <row r="701" spans="1:33" ht="15.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row>
    <row r="702" spans="1:33" ht="15.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row>
    <row r="703" spans="1:33" ht="15.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row>
    <row r="704" spans="1:33" ht="15.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row>
    <row r="705" spans="1:33" ht="15.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row>
    <row r="706" spans="1:33" ht="15.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row>
    <row r="707" spans="1:33" ht="15.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row>
    <row r="708" spans="1:33" ht="15.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row>
    <row r="709" spans="1:33" ht="15.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row>
    <row r="710" spans="1:33" ht="15.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row>
    <row r="711" spans="1:33" ht="15.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row>
    <row r="712" spans="1:33" ht="15.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row>
    <row r="713" spans="1:33" ht="15.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row>
    <row r="714" spans="1:33" ht="15.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row>
    <row r="715" spans="1:33" ht="15.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row>
    <row r="716" spans="1:33" ht="15.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row>
    <row r="717" spans="1:33" ht="15.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row>
    <row r="718" spans="1:33" ht="15.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row>
    <row r="719" spans="1:33" ht="15.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row>
    <row r="720" spans="1:33" ht="15.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row>
    <row r="721" spans="1:33" ht="15.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row>
    <row r="722" spans="1:33" ht="15.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row>
    <row r="723" spans="1:33" ht="15.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row>
    <row r="724" spans="1:33" ht="15.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row>
    <row r="725" spans="1:33" ht="15.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row>
    <row r="726" spans="1:33" ht="15.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row>
    <row r="727" spans="1:33" ht="15.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row>
    <row r="728" spans="1:33" ht="15.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row>
    <row r="729" spans="1:33" ht="15.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row>
    <row r="730" spans="1:33" ht="15.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row>
    <row r="731" spans="1:33" ht="15.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row>
    <row r="732" spans="1:33" ht="15.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row>
    <row r="733" spans="1:33" ht="15.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row>
    <row r="734" spans="1:33" ht="15.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row>
    <row r="735" spans="1:33" ht="15.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row>
    <row r="736" spans="1:33" ht="15.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row>
    <row r="737" spans="1:33" ht="15.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row>
    <row r="738" spans="1:33" ht="15.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row>
    <row r="739" spans="1:33" ht="15.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row>
    <row r="740" spans="1:33" ht="15.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row>
    <row r="741" spans="1:33" ht="15.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row>
    <row r="742" spans="1:33" ht="15.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row>
    <row r="743" spans="1:33" ht="15.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row>
    <row r="744" spans="1:33" ht="15.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row>
    <row r="745" spans="1:33" ht="15.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row>
    <row r="746" spans="1:33" ht="15.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row>
    <row r="747" spans="1:33" ht="15.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row>
    <row r="748" spans="1:33" ht="15.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row>
    <row r="749" spans="1:33" ht="15.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row>
    <row r="750" spans="1:33" ht="15.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row>
    <row r="751" spans="1:33" ht="15.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row>
    <row r="752" spans="1:33" ht="15.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row>
    <row r="753" spans="1:33" ht="15.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row>
    <row r="754" spans="1:33" ht="15.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row>
    <row r="755" spans="1:33" ht="15.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row>
    <row r="756" spans="1:33" ht="15.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row>
    <row r="757" spans="1:33" ht="15.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row>
    <row r="758" spans="1:33" ht="15.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row>
    <row r="759" spans="1:33" ht="15.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row>
    <row r="760" spans="1:33" ht="15.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row>
    <row r="761" spans="1:33" ht="15.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row>
    <row r="762" spans="1:33" ht="15.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row>
    <row r="763" spans="1:33" ht="15.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row>
    <row r="764" spans="1:33" ht="15.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row>
    <row r="765" spans="1:33" ht="15.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row>
    <row r="766" spans="1:33" ht="15.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row>
    <row r="767" spans="1:33" ht="15.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row>
    <row r="768" spans="1:33" ht="15.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row>
    <row r="769" spans="1:33" ht="15.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row>
    <row r="770" spans="1:33" ht="15.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row>
    <row r="771" spans="1:33" ht="15.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row>
    <row r="772" spans="1:33" ht="15.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row>
    <row r="773" spans="1:33" ht="15.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row>
    <row r="774" spans="1:33" ht="15.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row>
    <row r="775" spans="1:33" ht="15.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row>
    <row r="776" spans="1:33" ht="15.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row>
    <row r="777" spans="1:33" ht="15.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row>
    <row r="778" spans="1:33" ht="15.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row>
    <row r="779" spans="1:33" ht="15.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row>
    <row r="780" spans="1:33" ht="15.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row>
    <row r="781" spans="1:33" ht="15.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row>
    <row r="782" spans="1:33" ht="15.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row>
    <row r="783" spans="1:33" ht="15.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row>
    <row r="784" spans="1:33" ht="15.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row>
    <row r="785" spans="1:33" ht="15.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row>
    <row r="786" spans="1:33" ht="15.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row>
    <row r="787" spans="1:33" ht="15.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row>
    <row r="788" spans="1:33" ht="15.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row>
    <row r="789" spans="1:33" ht="15.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row>
    <row r="790" spans="1:33" ht="15.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row>
    <row r="791" spans="1:33" ht="15.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row>
    <row r="792" spans="1:33" ht="15.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row>
    <row r="793" spans="1:33" ht="15.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row>
    <row r="794" spans="1:33" ht="15.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row>
    <row r="795" spans="1:33" ht="15.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row>
    <row r="796" spans="1:33" ht="15.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row>
    <row r="797" spans="1:33" ht="15.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row>
    <row r="798" spans="1:33" ht="15.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row>
    <row r="799" spans="1:33" ht="15.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row>
    <row r="800" spans="1:33" ht="15.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row>
    <row r="801" spans="1:33" ht="15.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row>
    <row r="802" spans="1:33" ht="15.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row>
    <row r="803" spans="1:33" ht="15.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row>
    <row r="804" spans="1:33" ht="15.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row>
    <row r="805" spans="1:33" ht="15.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row>
    <row r="806" spans="1:33" ht="15.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row>
    <row r="807" spans="1:33" ht="15.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row>
    <row r="808" spans="1:33" ht="15.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row>
    <row r="809" spans="1:33" ht="15.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row>
    <row r="810" spans="1:33" ht="15.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row>
    <row r="811" spans="1:33" ht="15.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row>
    <row r="812" spans="1:33" ht="15.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row>
    <row r="813" spans="1:33" ht="15.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row>
    <row r="814" spans="1:33" ht="15.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row>
    <row r="815" spans="1:33" ht="15.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row>
    <row r="816" spans="1:33" ht="15.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row>
    <row r="817" spans="1:33" ht="15.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row>
    <row r="818" spans="1:33" ht="15.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row>
    <row r="819" spans="1:33" ht="15.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row>
    <row r="820" spans="1:33" ht="15.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row>
    <row r="821" spans="1:33" ht="15.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row>
    <row r="822" spans="1:33" ht="15.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row>
    <row r="823" spans="1:33" ht="15.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row>
    <row r="824" spans="1:33" ht="15.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row>
    <row r="825" spans="1:33" ht="15.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row>
    <row r="826" spans="1:33" ht="15.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row>
    <row r="827" spans="1:33" ht="15.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row>
    <row r="828" spans="1:33" ht="15.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row>
    <row r="829" spans="1:33" ht="15.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row>
    <row r="830" spans="1:33" ht="15.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row>
    <row r="831" spans="1:33" ht="15.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row>
    <row r="832" spans="1:33" ht="15.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row>
    <row r="833" spans="1:33" ht="15.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row>
    <row r="834" spans="1:33" ht="15.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row>
    <row r="835" spans="1:33" ht="15.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row>
    <row r="836" spans="1:33" ht="15.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row>
    <row r="837" spans="1:33" ht="15.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row>
    <row r="838" spans="1:33" ht="15.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row>
    <row r="839" spans="1:33" ht="15.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row>
    <row r="840" spans="1:33" ht="15.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row>
    <row r="841" spans="1:33" ht="15.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row>
    <row r="842" spans="1:33" ht="15.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row>
    <row r="843" spans="1:33" ht="15.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row>
    <row r="844" spans="1:33" ht="15.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row>
    <row r="845" spans="1:33" ht="15.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row>
    <row r="846" spans="1:33" ht="15.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row>
    <row r="847" spans="1:33" ht="15.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row>
    <row r="848" spans="1:33" ht="15.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row>
    <row r="849" spans="1:33" ht="15.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row>
    <row r="850" spans="1:33" ht="15.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row>
    <row r="851" spans="1:33" ht="15.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row>
    <row r="852" spans="1:33" ht="15.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row>
    <row r="853" spans="1:33" ht="15.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row>
    <row r="854" spans="1:33" ht="15.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row>
    <row r="855" spans="1:33" ht="15.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row>
    <row r="856" spans="1:33" ht="15.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row>
    <row r="857" spans="1:33" ht="15.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row>
    <row r="858" spans="1:33" ht="15.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row>
    <row r="859" spans="1:33" ht="15.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row>
    <row r="860" spans="1:33" ht="15.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row>
    <row r="861" spans="1:33" ht="15.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row>
    <row r="862" spans="1:33" ht="15.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row>
    <row r="863" spans="1:33" ht="15.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row>
    <row r="864" spans="1:33" ht="15.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row>
    <row r="865" spans="1:33" ht="15.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row>
    <row r="866" spans="1:33" ht="15.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row>
    <row r="867" spans="1:33" ht="15.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row>
    <row r="868" spans="1:33" ht="15.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row>
    <row r="869" spans="1:33" ht="15.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row>
    <row r="870" spans="1:33" ht="15.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row>
    <row r="871" spans="1:33" ht="15.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row>
    <row r="872" spans="1:33" ht="15.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row>
    <row r="873" spans="1:33" ht="15.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row>
    <row r="874" spans="1:33" ht="15.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row>
    <row r="875" spans="1:33" ht="15.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row>
    <row r="876" spans="1:33" ht="15.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row>
    <row r="877" spans="1:33" ht="15.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row>
    <row r="878" spans="1:33" ht="15.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row>
    <row r="879" spans="1:33" ht="15.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row>
    <row r="880" spans="1:33" ht="15.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row>
    <row r="881" spans="1:33" ht="15.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row>
    <row r="882" spans="1:33" ht="15.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row>
    <row r="883" spans="1:33" ht="15.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row>
    <row r="884" spans="1:33" ht="15.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row>
    <row r="885" spans="1:33" ht="15.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row>
    <row r="886" spans="1:33" ht="15.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row>
    <row r="887" spans="1:33" ht="15.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row>
    <row r="888" spans="1:33" ht="15.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row>
    <row r="889" spans="1:33" ht="15.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row>
    <row r="890" spans="1:33" ht="15.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row>
    <row r="891" spans="1:33" ht="15.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row>
    <row r="892" spans="1:33" ht="15.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row>
    <row r="893" spans="1:33" ht="15.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row>
    <row r="894" spans="1:33" ht="15.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row>
    <row r="895" spans="1:33" ht="15.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row>
    <row r="896" spans="1:33" ht="15.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row>
    <row r="897" spans="1:33" ht="15.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row>
    <row r="898" spans="1:33" ht="15.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row>
    <row r="899" spans="1:33" ht="15.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row>
    <row r="900" spans="1:33" ht="15.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row>
    <row r="901" spans="1:33" ht="15.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row>
    <row r="902" spans="1:33" ht="15.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row>
    <row r="903" spans="1:33" ht="15.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row>
    <row r="904" spans="1:33" ht="15.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row>
    <row r="905" spans="1:33" ht="15.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row>
    <row r="906" spans="1:33" ht="15.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row>
    <row r="907" spans="1:33" ht="15.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row>
    <row r="908" spans="1:33" ht="15.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row>
    <row r="909" spans="1:33" ht="15.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row>
    <row r="910" spans="1:33" ht="15.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row>
    <row r="911" spans="1:33" ht="15.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row>
    <row r="912" spans="1:33" ht="15.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row>
    <row r="913" spans="1:33" ht="15.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row>
    <row r="914" spans="1:33" ht="15.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row>
    <row r="915" spans="1:33" ht="15.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row>
    <row r="916" spans="1:33" ht="15.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row>
    <row r="917" spans="1:33" ht="15.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row>
    <row r="918" spans="1:33" ht="15.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row>
    <row r="919" spans="1:33" ht="15.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row>
    <row r="920" spans="1:33" ht="15.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row>
    <row r="921" spans="1:33" ht="15.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row>
    <row r="922" spans="1:33" ht="15.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row>
    <row r="923" spans="1:33" ht="15.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row>
    <row r="924" spans="1:33" ht="15.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row>
    <row r="925" spans="1:33" ht="15.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row>
    <row r="926" spans="1:33" ht="15.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row>
    <row r="927" spans="1:33" ht="15.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row>
    <row r="928" spans="1:33" ht="15.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row>
    <row r="929" spans="1:33" ht="15.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row>
    <row r="930" spans="1:33" ht="15.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row>
    <row r="931" spans="1:33" ht="15.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row>
    <row r="932" spans="1:33" ht="15.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row>
    <row r="933" spans="1:33" ht="15.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row>
    <row r="934" spans="1:33" ht="15.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row>
    <row r="935" spans="1:33" ht="15.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row>
    <row r="936" spans="1:33" ht="15.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row>
    <row r="937" spans="1:33" ht="15.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row>
    <row r="938" spans="1:33" ht="15.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row>
    <row r="939" spans="1:33" ht="15.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row>
    <row r="940" spans="1:33" ht="15.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row>
    <row r="941" spans="1:33" ht="15.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row>
    <row r="942" spans="1:33" ht="15.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row>
    <row r="943" spans="1:33" ht="15.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row>
    <row r="944" spans="1:33" ht="15.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row>
    <row r="945" spans="1:33" ht="15.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row>
    <row r="946" spans="1:33" ht="15.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row>
    <row r="947" spans="1:33" ht="15.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row>
    <row r="948" spans="1:33" ht="15.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row>
    <row r="949" spans="1:33" ht="15.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row>
    <row r="950" spans="1:33" ht="15.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row>
    <row r="951" spans="1:33" ht="15.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row>
    <row r="952" spans="1:33" ht="15.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row>
    <row r="953" spans="1:33" ht="15.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row>
    <row r="954" spans="1:33" ht="15.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row>
    <row r="955" spans="1:33" ht="15.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row>
    <row r="956" spans="1:33" ht="15.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row>
    <row r="957" spans="1:33" ht="15.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row>
    <row r="958" spans="1:33" ht="15.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row>
    <row r="959" spans="1:33" ht="15.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row>
    <row r="960" spans="1:33" ht="15.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row>
    <row r="961" spans="1:33" ht="15.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row>
    <row r="962" spans="1:33" ht="15.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row>
    <row r="963" spans="1:33" ht="15.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row>
    <row r="964" spans="1:33" ht="15.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row>
    <row r="965" spans="1:33" ht="15.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row>
    <row r="966" spans="1:33" ht="15.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row>
    <row r="967" spans="1:33" ht="15.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row>
    <row r="968" spans="1:33" ht="15.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row>
    <row r="969" spans="1:33" ht="15.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row>
    <row r="970" spans="1:33" ht="15.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row>
    <row r="971" spans="1:33" ht="15.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row>
    <row r="972" spans="1:33" ht="15.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row>
    <row r="973" spans="1:33" ht="15.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row>
    <row r="974" spans="1:33" ht="15.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row>
    <row r="975" spans="1:33" ht="15.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row>
    <row r="976" spans="1:33" ht="15.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row>
    <row r="977" spans="1:33" ht="15.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row>
    <row r="978" spans="1:33" ht="15.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row>
    <row r="979" spans="1:33" ht="15.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row>
    <row r="980" spans="1:33" ht="15.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row>
    <row r="981" spans="1:33" ht="15.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row>
    <row r="982" spans="1:33" ht="15.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row>
    <row r="983" spans="1:33" ht="15.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row>
    <row r="984" spans="1:33" ht="15.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row>
    <row r="985" spans="1:33" ht="15.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row>
    <row r="986" spans="1:33" ht="15.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row>
    <row r="987" spans="1:33" ht="15.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row>
    <row r="988" spans="1:33" ht="15.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row>
    <row r="989" spans="1:33" ht="15.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row>
    <row r="990" spans="1:33" ht="15.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row>
    <row r="991" spans="1:33" ht="15.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row>
    <row r="992" spans="1:33" ht="15.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row>
    <row r="993" spans="1:33" ht="15.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row>
    <row r="994" spans="1:33" ht="15.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row>
    <row r="995" spans="1:33" ht="15.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row>
    <row r="996" spans="1:33" ht="15.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row>
    <row r="997" spans="1:33" ht="15.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row>
    <row r="998" spans="1:33" ht="15.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row>
    <row r="999" spans="1:33" ht="15.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row>
    <row r="1000" spans="1:33" ht="15.7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row>
  </sheetData>
  <sheetProtection algorithmName="SHA-512" hashValue="Z5MDF6PxnSU/jCrquNXJrgoJ4/xR1cu6MJpQ69+SjhD0C4XuHHFGVoKkfqy9vQY60cYvjulBWCuK7N6oxJkY7w==" saltValue="KEoc7zo64+wk9cK3LDVeHg==" spinCount="100000" sheet="1" objects="1" scenarios="1"/>
  <hyperlinks>
    <hyperlink ref="Q19" location="null!A1" display="Tabblad 2: Volt ampere en watt" xr:uid="{00000000-0004-0000-0000-000001000000}"/>
    <hyperlink ref="AA19" location="null!A1" display="Tabblad 2: Volt ampere en watt" xr:uid="{00000000-0004-0000-0000-000002000000}"/>
    <hyperlink ref="Q21" location="null!A1" display="Tabblad 3: Bruikbare accucapaciteit en caartijd" xr:uid="{00000000-0004-0000-0000-000004000000}"/>
    <hyperlink ref="AA21" location="null!A1" display="Tabblad 3: Bruikbare accucapaciteit en caartijd" xr:uid="{00000000-0004-0000-0000-000005000000}"/>
    <hyperlink ref="Q23" location="null!A1" display="Tabblad 4: snelheid en benodigd vermogen" xr:uid="{00000000-0004-0000-0000-000007000000}"/>
    <hyperlink ref="AA23" location="null!A1" display="Tabblad 4: snelheid en benodigd vermogen" xr:uid="{00000000-0004-0000-0000-000008000000}"/>
    <hyperlink ref="B19" location="'2.Volt-amp-watt'!A1" display="'2.Volt-amp-watt'!A1" xr:uid="{F066083D-8BE0-A443-ABB1-8F53FDECDD8E}"/>
    <hyperlink ref="B21" location="'3.Effective battery capacity'!A1" display="'3.Effective battery capacity'!A1" xr:uid="{327FFF6C-2101-0946-8492-EBD8DAECEB84}"/>
    <hyperlink ref="B23" location="'4.Runtime'!A1" display="'4.Runtime'!A1" xr:uid="{AE634F8C-E149-484B-ABC5-F7A28E32F698}"/>
  </hyperlinks>
  <pageMargins left="0.75" right="0.75" top="1" bottom="1" header="0" footer="0"/>
  <pageSetup paperSize="9"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000-000000000000}">
          <x14:formula1>
            <xm:f>Validation!$O$2:$O$4</xm:f>
          </x14:formula1>
          <xm:sqref>D6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1000"/>
  <sheetViews>
    <sheetView workbookViewId="0">
      <selection activeCell="G33" sqref="G33"/>
    </sheetView>
  </sheetViews>
  <sheetFormatPr baseColWidth="10" defaultColWidth="11.28515625" defaultRowHeight="15" customHeight="1" x14ac:dyDescent="0.2"/>
  <cols>
    <col min="1" max="1" width="3.42578125" style="39" customWidth="1"/>
    <col min="2" max="2" width="17.28515625" style="39" customWidth="1"/>
    <col min="3" max="3" width="16.5703125" style="39" customWidth="1"/>
    <col min="4" max="4" width="17.7109375" style="39" customWidth="1"/>
    <col min="5" max="5" width="10.7109375" style="39" customWidth="1"/>
    <col min="6" max="6" width="8.28515625" style="39" bestFit="1" customWidth="1"/>
    <col min="7" max="7" width="10.7109375" style="39" customWidth="1"/>
    <col min="8" max="8" width="14" style="39" customWidth="1"/>
    <col min="9" max="9" width="10.7109375" style="39" customWidth="1"/>
    <col min="10" max="10" width="12.5703125" style="39" customWidth="1"/>
    <col min="11" max="11" width="3.28515625" style="39" customWidth="1"/>
    <col min="12" max="16" width="10.7109375" style="39" customWidth="1"/>
    <col min="17" max="33" width="10.7109375" style="39" hidden="1" customWidth="1"/>
    <col min="34" max="39" width="11.28515625" style="39" hidden="1" customWidth="1"/>
    <col min="40" max="16384" width="11.28515625" style="39"/>
  </cols>
  <sheetData>
    <row r="1" spans="1:39" ht="15.75"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row>
    <row r="2" spans="1:39" ht="15.75" customHeight="1" x14ac:dyDescent="0.2">
      <c r="A2" s="1"/>
      <c r="B2" s="1"/>
      <c r="C2" s="1"/>
      <c r="D2" s="1"/>
      <c r="E2" s="1"/>
      <c r="F2" s="1"/>
      <c r="G2" s="1"/>
      <c r="H2" s="3"/>
      <c r="I2" s="4"/>
      <c r="J2" s="1"/>
      <c r="K2" s="1"/>
      <c r="L2" s="1"/>
      <c r="M2" s="16" t="s">
        <v>18</v>
      </c>
      <c r="N2" s="1"/>
      <c r="O2" s="1"/>
      <c r="P2" s="1"/>
      <c r="Q2" s="1" t="s">
        <v>31</v>
      </c>
      <c r="R2" s="1"/>
      <c r="S2" s="1" t="str" cm="1">
        <f t="array" ref="S2">_xlfn.IFS($D$6=Validation!$O$2,U2,$D$6=Validation!$O$3,AC2,$D$6=Validation!$O$4,AI2)</f>
        <v>In series</v>
      </c>
      <c r="T2" s="1"/>
      <c r="U2" s="1" t="s">
        <v>32</v>
      </c>
      <c r="V2" s="1"/>
      <c r="W2" s="1"/>
      <c r="X2" s="1"/>
      <c r="Y2" s="1"/>
      <c r="Z2" s="1"/>
      <c r="AA2" s="1"/>
      <c r="AB2" s="1"/>
      <c r="AC2" s="1" t="s">
        <v>222</v>
      </c>
      <c r="AD2" s="1"/>
      <c r="AE2" s="1"/>
      <c r="AF2" s="1"/>
      <c r="AG2" s="1"/>
      <c r="AI2" s="49" t="s">
        <v>206</v>
      </c>
      <c r="AJ2" s="56"/>
      <c r="AK2" s="56"/>
      <c r="AL2" s="56"/>
      <c r="AM2" s="56"/>
    </row>
    <row r="3" spans="1:39" ht="15.75" customHeight="1" x14ac:dyDescent="0.2">
      <c r="A3" s="1"/>
      <c r="B3" s="1"/>
      <c r="C3" s="1"/>
      <c r="D3" s="1"/>
      <c r="E3" s="1"/>
      <c r="F3" s="1"/>
      <c r="G3" s="1"/>
      <c r="H3" s="5"/>
      <c r="I3" s="6"/>
      <c r="J3" s="1"/>
      <c r="K3" s="1"/>
      <c r="L3" s="1"/>
      <c r="M3" s="1"/>
      <c r="N3" s="1"/>
      <c r="O3" s="1"/>
      <c r="P3" s="1"/>
      <c r="Q3" s="1">
        <v>12</v>
      </c>
      <c r="R3" s="1"/>
      <c r="S3" s="1" t="str" cm="1">
        <f t="array" ref="S3">_xlfn.IFS($D$6=Validation!$O$2,U3,$D$6=Validation!$O$3,AC3,$D$6=Validation!$O$4,AI3)</f>
        <v>Parallel</v>
      </c>
      <c r="T3" s="1"/>
      <c r="U3" s="1" t="s">
        <v>33</v>
      </c>
      <c r="V3" s="1"/>
      <c r="W3" s="1"/>
      <c r="X3" s="1"/>
      <c r="Y3" s="1"/>
      <c r="Z3" s="1"/>
      <c r="AA3" s="1"/>
      <c r="AB3" s="1"/>
      <c r="AC3" s="1" t="s">
        <v>33</v>
      </c>
      <c r="AD3" s="1"/>
      <c r="AE3" s="1"/>
      <c r="AF3" s="1"/>
      <c r="AG3" s="1"/>
      <c r="AI3" s="49" t="s">
        <v>33</v>
      </c>
      <c r="AJ3" s="56"/>
      <c r="AK3" s="56"/>
      <c r="AL3" s="56"/>
      <c r="AM3" s="56"/>
    </row>
    <row r="4" spans="1:39" ht="15.75" customHeight="1" x14ac:dyDescent="0.2">
      <c r="A4" s="1"/>
      <c r="B4" s="1"/>
      <c r="C4" s="1"/>
      <c r="D4" s="1"/>
      <c r="E4" s="1"/>
      <c r="F4" s="1"/>
      <c r="G4" s="1"/>
      <c r="H4" s="7"/>
      <c r="I4" s="6"/>
      <c r="J4" s="1"/>
      <c r="K4" s="1"/>
      <c r="L4" s="1"/>
      <c r="M4" s="1"/>
      <c r="N4" s="1"/>
      <c r="O4" s="1"/>
      <c r="P4" s="1"/>
      <c r="Q4" s="1">
        <v>24</v>
      </c>
      <c r="R4" s="1"/>
      <c r="S4" s="1"/>
      <c r="T4" s="1"/>
      <c r="U4" s="1"/>
      <c r="V4" s="1"/>
      <c r="W4" s="1"/>
      <c r="X4" s="1"/>
      <c r="Y4" s="1"/>
      <c r="Z4" s="1"/>
      <c r="AA4" s="1"/>
      <c r="AB4" s="1"/>
      <c r="AC4" s="1"/>
      <c r="AD4" s="1"/>
      <c r="AE4" s="1"/>
      <c r="AF4" s="1"/>
      <c r="AG4" s="1"/>
      <c r="AI4" s="56"/>
      <c r="AJ4" s="56"/>
      <c r="AK4" s="56"/>
      <c r="AL4" s="56"/>
      <c r="AM4" s="56"/>
    </row>
    <row r="5" spans="1:39" ht="15.75" customHeight="1" x14ac:dyDescent="0.2">
      <c r="A5" s="1"/>
      <c r="B5" s="1"/>
      <c r="C5" s="1"/>
      <c r="D5" s="1"/>
      <c r="E5" s="1"/>
      <c r="F5" s="1"/>
      <c r="G5" s="1"/>
      <c r="H5" s="7"/>
      <c r="I5" s="6"/>
      <c r="J5" s="1"/>
      <c r="K5" s="1"/>
      <c r="L5" s="1"/>
      <c r="M5" s="1"/>
      <c r="N5" s="1"/>
      <c r="O5" s="1"/>
      <c r="P5" s="1"/>
      <c r="Q5" s="1">
        <v>36</v>
      </c>
      <c r="R5" s="1"/>
      <c r="S5" s="1"/>
      <c r="T5" s="1"/>
      <c r="U5" s="1"/>
      <c r="V5" s="1"/>
      <c r="W5" s="1"/>
      <c r="X5" s="1"/>
      <c r="Y5" s="1"/>
      <c r="Z5" s="1"/>
      <c r="AA5" s="1"/>
      <c r="AB5" s="1"/>
      <c r="AC5" s="1"/>
      <c r="AD5" s="1"/>
      <c r="AE5" s="1"/>
      <c r="AF5" s="1"/>
      <c r="AG5" s="1"/>
      <c r="AI5" s="56"/>
      <c r="AJ5" s="56"/>
      <c r="AK5" s="56"/>
      <c r="AL5" s="56"/>
      <c r="AM5" s="56"/>
    </row>
    <row r="6" spans="1:39" ht="15.75" customHeight="1" x14ac:dyDescent="0.2">
      <c r="A6" s="1"/>
      <c r="B6" s="4" t="s">
        <v>0</v>
      </c>
      <c r="C6" s="1"/>
      <c r="D6" s="44" t="s">
        <v>178</v>
      </c>
      <c r="E6" s="1"/>
      <c r="F6" s="1"/>
      <c r="G6" s="1"/>
      <c r="H6" s="1"/>
      <c r="I6" s="4"/>
      <c r="J6" s="1"/>
      <c r="K6" s="1"/>
      <c r="L6" s="1"/>
      <c r="M6" s="1"/>
      <c r="N6" s="1"/>
      <c r="O6" s="1"/>
      <c r="P6" s="1"/>
      <c r="Q6" s="1">
        <v>48</v>
      </c>
      <c r="R6" s="1"/>
      <c r="S6" s="1"/>
      <c r="T6" s="1"/>
      <c r="U6" s="1"/>
      <c r="V6" s="1"/>
      <c r="W6" s="1"/>
      <c r="X6" s="1"/>
      <c r="Y6" s="1"/>
      <c r="Z6" s="1"/>
      <c r="AA6" s="1"/>
      <c r="AB6" s="1"/>
      <c r="AC6" s="1"/>
      <c r="AD6" s="1"/>
      <c r="AE6" s="1"/>
      <c r="AF6" s="1"/>
      <c r="AG6" s="1"/>
      <c r="AI6" s="56"/>
      <c r="AJ6" s="56"/>
      <c r="AK6" s="56"/>
      <c r="AL6" s="56"/>
      <c r="AM6" s="56"/>
    </row>
    <row r="7" spans="1:39" ht="30" x14ac:dyDescent="0.3">
      <c r="A7" s="1"/>
      <c r="B7" s="8" t="str" cm="1">
        <f t="array" ref="B7">_xlfn.IFS($D$6=Validation!$O$2,U7,$D$6=Validation!$O$3,AC7,$D$6=Validation!$O$4,AI7)</f>
        <v>Volts, Amps and Watts</v>
      </c>
      <c r="C7" s="1"/>
      <c r="D7" s="1"/>
      <c r="E7" s="1"/>
      <c r="F7" s="1"/>
      <c r="G7" s="1"/>
      <c r="H7" s="1"/>
      <c r="I7" s="1"/>
      <c r="J7" s="1"/>
      <c r="K7" s="1"/>
      <c r="L7" s="1"/>
      <c r="M7" s="1"/>
      <c r="N7" s="1"/>
      <c r="O7" s="1"/>
      <c r="P7" s="1"/>
      <c r="Q7" s="1"/>
      <c r="R7" s="1"/>
      <c r="S7" s="1"/>
      <c r="T7" s="1"/>
      <c r="U7" s="8" t="s">
        <v>34</v>
      </c>
      <c r="V7" s="1"/>
      <c r="W7" s="1"/>
      <c r="X7" s="1"/>
      <c r="Y7" s="1"/>
      <c r="Z7" s="1"/>
      <c r="AA7" s="1"/>
      <c r="AB7" s="1"/>
      <c r="AC7" s="8" t="s">
        <v>35</v>
      </c>
      <c r="AD7" s="1"/>
      <c r="AE7" s="1"/>
      <c r="AF7" s="1"/>
      <c r="AG7" s="1"/>
      <c r="AI7" s="48" t="s">
        <v>248</v>
      </c>
      <c r="AJ7" s="49"/>
      <c r="AK7" s="49"/>
      <c r="AL7" s="49"/>
      <c r="AM7" s="49"/>
    </row>
    <row r="8" spans="1:39" ht="15.75" customHeight="1" x14ac:dyDescent="0.2">
      <c r="A8" s="1"/>
      <c r="B8" s="1" t="str" cm="1">
        <f t="array" ref="B8">_xlfn.IFS($D$6=Validation!$O$2,U8,$D$6=Validation!$O$3,AC8,$D$6=Validation!$O$4,AI8)</f>
        <v>On this tab you will find some useful calculation tools to quickly calculate the power, number of watts or capacity of your battery</v>
      </c>
      <c r="C8" s="1"/>
      <c r="D8" s="1"/>
      <c r="E8" s="1"/>
      <c r="F8" s="1"/>
      <c r="G8" s="1"/>
      <c r="H8" s="1"/>
      <c r="I8" s="1"/>
      <c r="J8" s="1"/>
      <c r="K8" s="1"/>
      <c r="L8" s="1"/>
      <c r="M8" s="1"/>
      <c r="N8" s="1"/>
      <c r="O8" s="1"/>
      <c r="P8" s="1"/>
      <c r="Q8" s="1"/>
      <c r="R8" s="1"/>
      <c r="S8" s="1"/>
      <c r="T8" s="1"/>
      <c r="U8" s="1" t="s">
        <v>36</v>
      </c>
      <c r="V8" s="1"/>
      <c r="W8" s="1"/>
      <c r="X8" s="1"/>
      <c r="Y8" s="1"/>
      <c r="Z8" s="1"/>
      <c r="AA8" s="1"/>
      <c r="AB8" s="1"/>
      <c r="AC8" s="1" t="s">
        <v>37</v>
      </c>
      <c r="AD8" s="1"/>
      <c r="AE8" s="1"/>
      <c r="AF8" s="1"/>
      <c r="AG8" s="1"/>
      <c r="AI8" s="49" t="s">
        <v>200</v>
      </c>
      <c r="AJ8" s="49"/>
      <c r="AK8" s="49"/>
      <c r="AL8" s="49"/>
      <c r="AM8" s="49"/>
    </row>
    <row r="9" spans="1:39" ht="15.75" customHeight="1" x14ac:dyDescent="0.2">
      <c r="A9" s="1"/>
      <c r="B9" s="16"/>
      <c r="C9" s="1"/>
      <c r="D9" s="1"/>
      <c r="E9" s="1"/>
      <c r="F9" s="1"/>
      <c r="G9" s="1"/>
      <c r="H9" s="1"/>
      <c r="I9" s="1"/>
      <c r="J9" s="1"/>
      <c r="K9" s="1"/>
      <c r="L9" s="1"/>
      <c r="M9" s="1"/>
      <c r="N9" s="1"/>
      <c r="O9" s="1"/>
      <c r="P9" s="1"/>
      <c r="Q9" s="1"/>
      <c r="R9" s="1"/>
      <c r="S9" s="1"/>
      <c r="T9" s="1"/>
      <c r="U9" s="16"/>
      <c r="V9" s="1"/>
      <c r="W9" s="1"/>
      <c r="X9" s="1"/>
      <c r="Y9" s="1"/>
      <c r="Z9" s="1"/>
      <c r="AA9" s="1"/>
      <c r="AB9" s="1"/>
      <c r="AC9" s="16"/>
      <c r="AD9" s="1"/>
      <c r="AE9" s="1"/>
      <c r="AF9" s="1"/>
      <c r="AG9" s="1"/>
      <c r="AI9" s="55"/>
      <c r="AJ9" s="49"/>
      <c r="AK9" s="49"/>
      <c r="AL9" s="49"/>
      <c r="AM9" s="49"/>
    </row>
    <row r="10" spans="1:39" ht="15.75" customHeight="1" x14ac:dyDescent="0.2">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I10" s="49"/>
      <c r="AJ10" s="49"/>
      <c r="AK10" s="49"/>
      <c r="AL10" s="49"/>
      <c r="AM10" s="49"/>
    </row>
    <row r="11" spans="1:39" ht="15.75" customHeight="1" x14ac:dyDescent="0.2">
      <c r="A11" s="1"/>
      <c r="B11" s="4" t="str" cm="1">
        <f t="array" ref="B11">_xlfn.IFS($D$6=Validation!$O$2,U11,$D$6=Validation!$O$3,AC11,$D$6=Validation!$O$4,AI11)</f>
        <v>If you want to know the power (Watts) of your motor</v>
      </c>
      <c r="C11" s="1"/>
      <c r="D11" s="1"/>
      <c r="E11" s="1"/>
      <c r="F11" s="1"/>
      <c r="G11" s="1"/>
      <c r="H11" s="1"/>
      <c r="I11" s="1"/>
      <c r="J11" s="1"/>
      <c r="K11" s="1"/>
      <c r="L11" s="1"/>
      <c r="M11" s="1"/>
      <c r="N11" s="1"/>
      <c r="O11" s="1"/>
      <c r="P11" s="1"/>
      <c r="Q11" s="1"/>
      <c r="R11" s="1"/>
      <c r="S11" s="1"/>
      <c r="T11" s="1"/>
      <c r="U11" s="4" t="s">
        <v>38</v>
      </c>
      <c r="V11" s="1"/>
      <c r="W11" s="1"/>
      <c r="X11" s="1"/>
      <c r="Y11" s="1"/>
      <c r="Z11" s="1"/>
      <c r="AA11" s="1"/>
      <c r="AB11" s="1"/>
      <c r="AC11" s="4" t="s">
        <v>39</v>
      </c>
      <c r="AD11" s="1"/>
      <c r="AE11" s="1"/>
      <c r="AF11" s="1"/>
      <c r="AG11" s="1"/>
      <c r="AI11" s="54" t="s">
        <v>201</v>
      </c>
      <c r="AJ11" s="49"/>
      <c r="AK11" s="49"/>
      <c r="AL11" s="49"/>
      <c r="AM11" s="49"/>
    </row>
    <row r="12" spans="1:39" ht="15.75" customHeight="1" x14ac:dyDescent="0.2">
      <c r="A12" s="1"/>
      <c r="B12" s="1" t="str" cm="1">
        <f t="array" ref="B12">_xlfn.IFS($D$6=Validation!$O$2,U12,$D$6=Validation!$O$3,AC12,$D$6=Validation!$O$4,AI12)</f>
        <v>Number of volts (V) of your motor or device</v>
      </c>
      <c r="C12" s="1"/>
      <c r="D12" s="1"/>
      <c r="E12" s="44"/>
      <c r="F12" s="1" t="str" cm="1">
        <f t="array" ref="F12">_xlfn.IFS($D$6=Validation!$O$2,Y12,$D$6=Validation!$O$3,AG12,$D$6=Validation!$O$4,AM12)</f>
        <v>Volt</v>
      </c>
      <c r="G12" s="1"/>
      <c r="H12" s="1"/>
      <c r="I12" s="1"/>
      <c r="J12" s="1"/>
      <c r="K12" s="1"/>
      <c r="L12" s="1"/>
      <c r="M12" s="1"/>
      <c r="N12" s="1"/>
      <c r="O12" s="1"/>
      <c r="P12" s="1"/>
      <c r="Q12" s="1"/>
      <c r="R12" s="1"/>
      <c r="S12" s="1"/>
      <c r="T12" s="1"/>
      <c r="U12" s="1" t="s">
        <v>40</v>
      </c>
      <c r="V12" s="1"/>
      <c r="W12" s="1"/>
      <c r="X12" s="57">
        <v>36</v>
      </c>
      <c r="Y12" s="1" t="s">
        <v>41</v>
      </c>
      <c r="Z12" s="1"/>
      <c r="AA12" s="1"/>
      <c r="AB12" s="1"/>
      <c r="AC12" s="1" t="s">
        <v>42</v>
      </c>
      <c r="AD12" s="1"/>
      <c r="AE12" s="1"/>
      <c r="AF12" s="57">
        <v>36</v>
      </c>
      <c r="AG12" s="1" t="s">
        <v>41</v>
      </c>
      <c r="AI12" s="49" t="s">
        <v>207</v>
      </c>
      <c r="AJ12" s="49"/>
      <c r="AK12" s="49"/>
      <c r="AL12" s="58"/>
      <c r="AM12" s="49" t="s">
        <v>41</v>
      </c>
    </row>
    <row r="13" spans="1:39" ht="15.75" customHeight="1" x14ac:dyDescent="0.2">
      <c r="A13" s="1"/>
      <c r="B13" s="1" t="str" cm="1">
        <f t="array" ref="B13">_xlfn.IFS($D$6=Validation!$O$2,U13,$D$6=Validation!$O$3,AC13,$D$6=Validation!$O$4,AI13)</f>
        <v>Number of amps the motor draws</v>
      </c>
      <c r="C13" s="1"/>
      <c r="D13" s="1"/>
      <c r="E13" s="44"/>
      <c r="F13" s="1" t="str" cm="1">
        <f t="array" ref="F13">_xlfn.IFS($D$6=Validation!$O$2,Y13,$D$6=Validation!$O$3,AG13,$D$6=Validation!$O$4,AM13)</f>
        <v>Amps</v>
      </c>
      <c r="G13" s="1"/>
      <c r="H13" s="1"/>
      <c r="I13" s="1"/>
      <c r="J13" s="1"/>
      <c r="K13" s="1"/>
      <c r="L13" s="1"/>
      <c r="M13" s="1"/>
      <c r="N13" s="1"/>
      <c r="O13" s="1"/>
      <c r="P13" s="1"/>
      <c r="Q13" s="1"/>
      <c r="R13" s="1"/>
      <c r="S13" s="1"/>
      <c r="T13" s="1"/>
      <c r="U13" s="1" t="s">
        <v>43</v>
      </c>
      <c r="V13" s="1"/>
      <c r="W13" s="1"/>
      <c r="X13" s="57">
        <v>11</v>
      </c>
      <c r="Y13" s="1" t="s">
        <v>44</v>
      </c>
      <c r="Z13" s="1"/>
      <c r="AA13" s="1"/>
      <c r="AB13" s="1"/>
      <c r="AC13" s="1" t="s">
        <v>45</v>
      </c>
      <c r="AD13" s="1"/>
      <c r="AE13" s="1"/>
      <c r="AF13" s="57">
        <v>11</v>
      </c>
      <c r="AG13" s="1" t="s">
        <v>221</v>
      </c>
      <c r="AI13" s="49" t="s">
        <v>208</v>
      </c>
      <c r="AJ13" s="49"/>
      <c r="AK13" s="49"/>
      <c r="AL13" s="58"/>
      <c r="AM13" s="49" t="s">
        <v>221</v>
      </c>
    </row>
    <row r="14" spans="1:39" ht="15.75" customHeight="1" x14ac:dyDescent="0.2">
      <c r="A14" s="1"/>
      <c r="B14" s="1" t="str" cm="1">
        <f t="array" ref="B14">_xlfn.IFS($D$6=Validation!$O$2,U14,$D$6=Validation!$O$3,AC14,$D$6=Validation!$O$4,AI14)</f>
        <v>The power (Watt) of the motor</v>
      </c>
      <c r="C14" s="1"/>
      <c r="D14" s="1"/>
      <c r="E14" s="17">
        <f>E13*E12</f>
        <v>0</v>
      </c>
      <c r="F14" s="1" t="str" cm="1">
        <f t="array" ref="F14">_xlfn.IFS($D$6=Validation!$O$2,Y14,$D$6=Validation!$O$3,AG14,$D$6=Validation!$O$4,AM14)</f>
        <v>W</v>
      </c>
      <c r="G14" s="1"/>
      <c r="H14" s="1"/>
      <c r="I14" s="1"/>
      <c r="J14" s="1"/>
      <c r="K14" s="1"/>
      <c r="L14" s="1"/>
      <c r="M14" s="1"/>
      <c r="N14" s="1"/>
      <c r="O14" s="1"/>
      <c r="P14" s="1"/>
      <c r="Q14" s="1"/>
      <c r="R14" s="1"/>
      <c r="S14" s="1"/>
      <c r="T14" s="1"/>
      <c r="U14" s="1" t="s">
        <v>46</v>
      </c>
      <c r="V14" s="1"/>
      <c r="W14" s="1"/>
      <c r="X14" s="59">
        <f>X13*X12</f>
        <v>396</v>
      </c>
      <c r="Y14" s="1" t="s">
        <v>47</v>
      </c>
      <c r="Z14" s="1"/>
      <c r="AA14" s="1"/>
      <c r="AB14" s="1"/>
      <c r="AC14" s="1" t="s">
        <v>48</v>
      </c>
      <c r="AD14" s="1"/>
      <c r="AE14" s="1"/>
      <c r="AF14" s="59">
        <f>AF13*AF12</f>
        <v>396</v>
      </c>
      <c r="AG14" s="1" t="s">
        <v>47</v>
      </c>
      <c r="AI14" s="49" t="s">
        <v>209</v>
      </c>
      <c r="AJ14" s="49"/>
      <c r="AK14" s="49"/>
      <c r="AL14" s="58"/>
      <c r="AM14" s="49" t="s">
        <v>47</v>
      </c>
    </row>
    <row r="15" spans="1:39" ht="15.75" customHeight="1" x14ac:dyDescent="0.2">
      <c r="A15" s="1"/>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I15" s="49"/>
      <c r="AJ15" s="49"/>
      <c r="AK15" s="49"/>
      <c r="AL15" s="49"/>
      <c r="AM15" s="49"/>
    </row>
    <row r="16" spans="1:39" ht="15.75" customHeight="1" x14ac:dyDescent="0.2">
      <c r="A16" s="1"/>
      <c r="B16" s="4" t="str" cm="1">
        <f t="array" ref="B16">_xlfn.IFS($D$6=Validation!$O$2,U16,$D$6=Validation!$O$3,AC16,$D$6=Validation!$O$4,AI16)</f>
        <v>If you want to know the amperage (ampere) of the motor</v>
      </c>
      <c r="C16" s="1"/>
      <c r="D16" s="1"/>
      <c r="E16" s="1"/>
      <c r="F16" s="1"/>
      <c r="G16" s="1"/>
      <c r="H16" s="1"/>
      <c r="I16" s="1"/>
      <c r="J16" s="1"/>
      <c r="K16" s="1"/>
      <c r="L16" s="1"/>
      <c r="M16" s="1"/>
      <c r="N16" s="1"/>
      <c r="O16" s="1"/>
      <c r="P16" s="1"/>
      <c r="Q16" s="1"/>
      <c r="R16" s="1"/>
      <c r="S16" s="1"/>
      <c r="T16" s="1"/>
      <c r="U16" s="4" t="s">
        <v>49</v>
      </c>
      <c r="V16" s="1"/>
      <c r="W16" s="1"/>
      <c r="X16" s="1"/>
      <c r="Y16" s="1"/>
      <c r="Z16" s="1"/>
      <c r="AA16" s="1"/>
      <c r="AB16" s="1"/>
      <c r="AC16" s="4" t="s">
        <v>50</v>
      </c>
      <c r="AD16" s="1"/>
      <c r="AE16" s="1"/>
      <c r="AF16" s="1"/>
      <c r="AG16" s="1"/>
      <c r="AI16" s="54" t="s">
        <v>202</v>
      </c>
      <c r="AJ16" s="49"/>
      <c r="AK16" s="49"/>
      <c r="AL16" s="49"/>
      <c r="AM16" s="49"/>
    </row>
    <row r="17" spans="1:39" ht="15.75" customHeight="1" x14ac:dyDescent="0.2">
      <c r="A17" s="1"/>
      <c r="B17" s="1" t="str" cm="1">
        <f t="array" ref="B17">_xlfn.IFS($D$6=Validation!$O$2,U17,$D$6=Validation!$O$3,AC17,$D$6=Validation!$O$4,AI17)</f>
        <v>Number of volts (V) of your engine</v>
      </c>
      <c r="C17" s="1"/>
      <c r="D17" s="1"/>
      <c r="E17" s="44"/>
      <c r="F17" s="1" t="str" cm="1">
        <f t="array" ref="F17">_xlfn.IFS($D$6=Validation!$O$2,Y17,$D$6=Validation!$O$3,AG17,$D$6=Validation!$O$4,AM17)</f>
        <v>Volt</v>
      </c>
      <c r="G17" s="1"/>
      <c r="H17" s="1"/>
      <c r="I17" s="1"/>
      <c r="J17" s="1"/>
      <c r="K17" s="1"/>
      <c r="L17" s="1"/>
      <c r="M17" s="1"/>
      <c r="N17" s="1"/>
      <c r="O17" s="1"/>
      <c r="P17" s="1"/>
      <c r="Q17" s="1"/>
      <c r="R17" s="1"/>
      <c r="S17" s="1"/>
      <c r="T17" s="1"/>
      <c r="U17" s="1" t="s">
        <v>51</v>
      </c>
      <c r="V17" s="1"/>
      <c r="W17" s="1"/>
      <c r="X17" s="57">
        <v>24</v>
      </c>
      <c r="Y17" s="1" t="s">
        <v>41</v>
      </c>
      <c r="Z17" s="1"/>
      <c r="AA17" s="1"/>
      <c r="AB17" s="1"/>
      <c r="AC17" s="1" t="s">
        <v>52</v>
      </c>
      <c r="AD17" s="1"/>
      <c r="AE17" s="1"/>
      <c r="AF17" s="57">
        <v>24</v>
      </c>
      <c r="AG17" s="1" t="s">
        <v>41</v>
      </c>
      <c r="AI17" s="49" t="s">
        <v>210</v>
      </c>
      <c r="AJ17" s="49"/>
      <c r="AK17" s="49"/>
      <c r="AL17" s="58"/>
      <c r="AM17" s="49" t="s">
        <v>41</v>
      </c>
    </row>
    <row r="18" spans="1:39" ht="15.75" customHeight="1" x14ac:dyDescent="0.2">
      <c r="A18" s="1"/>
      <c r="B18" s="1" t="str" cm="1">
        <f t="array" ref="B18">_xlfn.IFS($D$6=Validation!$O$2,U18,$D$6=Validation!$O$3,AC18,$D$6=Validation!$O$4,AI18)</f>
        <v>The power of the motor (Watt)</v>
      </c>
      <c r="C18" s="1"/>
      <c r="D18" s="1"/>
      <c r="E18" s="44"/>
      <c r="F18" s="1" t="str" cm="1">
        <f t="array" ref="F18">_xlfn.IFS($D$6=Validation!$O$2,Y18,$D$6=Validation!$O$3,AG18,$D$6=Validation!$O$4,AM18)</f>
        <v>W</v>
      </c>
      <c r="G18" s="1"/>
      <c r="H18" s="1"/>
      <c r="I18" s="1"/>
      <c r="J18" s="1"/>
      <c r="K18" s="1"/>
      <c r="L18" s="1"/>
      <c r="M18" s="1"/>
      <c r="N18" s="1"/>
      <c r="O18" s="1"/>
      <c r="P18" s="1"/>
      <c r="Q18" s="1"/>
      <c r="R18" s="1"/>
      <c r="S18" s="1"/>
      <c r="T18" s="1"/>
      <c r="U18" s="1" t="s">
        <v>53</v>
      </c>
      <c r="V18" s="1"/>
      <c r="W18" s="1"/>
      <c r="X18" s="57">
        <v>1000</v>
      </c>
      <c r="Y18" s="1" t="s">
        <v>47</v>
      </c>
      <c r="Z18" s="1"/>
      <c r="AA18" s="1"/>
      <c r="AB18" s="1"/>
      <c r="AC18" s="1" t="s">
        <v>54</v>
      </c>
      <c r="AD18" s="1"/>
      <c r="AE18" s="1"/>
      <c r="AF18" s="57">
        <v>1000</v>
      </c>
      <c r="AG18" s="1" t="s">
        <v>47</v>
      </c>
      <c r="AI18" s="49" t="s">
        <v>211</v>
      </c>
      <c r="AJ18" s="49"/>
      <c r="AK18" s="49"/>
      <c r="AL18" s="58"/>
      <c r="AM18" s="49" t="s">
        <v>47</v>
      </c>
    </row>
    <row r="19" spans="1:39" ht="15.75" customHeight="1" x14ac:dyDescent="0.2">
      <c r="A19" s="1"/>
      <c r="B19" s="1" t="str" cm="1">
        <f t="array" ref="B19">_xlfn.IFS($D$6=Validation!$O$2,U19,$D$6=Validation!$O$3,AC19,$D$6=Validation!$O$4,AI19)</f>
        <v>Ampere of the motor</v>
      </c>
      <c r="C19" s="1"/>
      <c r="D19" s="1"/>
      <c r="E19" s="47" t="str">
        <f>IFERROR(E18/E17,"")</f>
        <v/>
      </c>
      <c r="F19" s="1" t="str" cm="1">
        <f t="array" ref="F19">_xlfn.IFS($D$6=Validation!$O$2,Y19,$D$6=Validation!$O$3,AG19,$D$6=Validation!$O$4,AM19)</f>
        <v>A</v>
      </c>
      <c r="G19" s="1"/>
      <c r="H19" s="1"/>
      <c r="I19" s="1"/>
      <c r="J19" s="1"/>
      <c r="K19" s="1"/>
      <c r="L19" s="1"/>
      <c r="M19" s="1"/>
      <c r="N19" s="1"/>
      <c r="O19" s="1"/>
      <c r="P19" s="1"/>
      <c r="Q19" s="1"/>
      <c r="R19" s="1"/>
      <c r="S19" s="1"/>
      <c r="T19" s="1"/>
      <c r="U19" s="1" t="s">
        <v>55</v>
      </c>
      <c r="V19" s="1"/>
      <c r="W19" s="1"/>
      <c r="X19" s="59">
        <f>X18/X17</f>
        <v>41.666666666666664</v>
      </c>
      <c r="Y19" s="1" t="s">
        <v>56</v>
      </c>
      <c r="Z19" s="1"/>
      <c r="AA19" s="1"/>
      <c r="AB19" s="1"/>
      <c r="AC19" s="1" t="s">
        <v>57</v>
      </c>
      <c r="AD19" s="1"/>
      <c r="AE19" s="1"/>
      <c r="AF19" s="59">
        <f>AF18/AF17</f>
        <v>41.666666666666664</v>
      </c>
      <c r="AG19" s="1" t="s">
        <v>56</v>
      </c>
      <c r="AI19" s="49" t="s">
        <v>212</v>
      </c>
      <c r="AJ19" s="49"/>
      <c r="AK19" s="49"/>
      <c r="AL19" s="58"/>
      <c r="AM19" s="49" t="s">
        <v>56</v>
      </c>
    </row>
    <row r="20" spans="1:39" ht="15.75" customHeight="1" x14ac:dyDescent="0.2">
      <c r="A20" s="1"/>
      <c r="B20" s="4"/>
      <c r="C20" s="1"/>
      <c r="D20" s="1"/>
      <c r="E20" s="1"/>
      <c r="F20" s="1"/>
      <c r="G20" s="1"/>
      <c r="H20" s="1"/>
      <c r="I20" s="1"/>
      <c r="J20" s="1"/>
      <c r="K20" s="1"/>
      <c r="L20" s="1"/>
      <c r="M20" s="1"/>
      <c r="N20" s="1"/>
      <c r="O20" s="1"/>
      <c r="P20" s="1"/>
      <c r="Q20" s="1"/>
      <c r="R20" s="1"/>
      <c r="S20" s="1"/>
      <c r="T20" s="1"/>
      <c r="U20" s="4"/>
      <c r="V20" s="1"/>
      <c r="W20" s="1"/>
      <c r="X20" s="1"/>
      <c r="Y20" s="1"/>
      <c r="Z20" s="1"/>
      <c r="AA20" s="1"/>
      <c r="AB20" s="1"/>
      <c r="AC20" s="4"/>
      <c r="AD20" s="1"/>
      <c r="AE20" s="1"/>
      <c r="AF20" s="1"/>
      <c r="AG20" s="1"/>
      <c r="AI20" s="54"/>
      <c r="AJ20" s="49"/>
      <c r="AK20" s="49"/>
      <c r="AL20" s="49"/>
      <c r="AM20" s="49"/>
    </row>
    <row r="21" spans="1:39" ht="15.75" customHeight="1" x14ac:dyDescent="0.2">
      <c r="A21" s="1"/>
      <c r="B21" s="4" t="str" cm="1">
        <f t="array" ref="B21">_xlfn.IFS($D$6=Validation!$O$2,U21,$D$6=Validation!$O$3,AC21,$D$6=Validation!$O$4,AI21)</f>
        <v>Calculating the battery capacity</v>
      </c>
      <c r="C21" s="1"/>
      <c r="D21" s="1"/>
      <c r="E21" s="1"/>
      <c r="F21" s="1"/>
      <c r="G21" s="1"/>
      <c r="H21" s="1"/>
      <c r="I21" s="1"/>
      <c r="J21" s="1"/>
      <c r="K21" s="1"/>
      <c r="L21" s="1"/>
      <c r="M21" s="1"/>
      <c r="N21" s="1"/>
      <c r="O21" s="1"/>
      <c r="P21" s="1"/>
      <c r="Q21" s="1"/>
      <c r="R21" s="1"/>
      <c r="S21" s="1"/>
      <c r="T21" s="1"/>
      <c r="U21" s="4" t="s">
        <v>58</v>
      </c>
      <c r="V21" s="1"/>
      <c r="W21" s="1"/>
      <c r="X21" s="1"/>
      <c r="Y21" s="1"/>
      <c r="Z21" s="1"/>
      <c r="AA21" s="1"/>
      <c r="AB21" s="1"/>
      <c r="AC21" s="4" t="s">
        <v>59</v>
      </c>
      <c r="AD21" s="1"/>
      <c r="AE21" s="1"/>
      <c r="AF21" s="1"/>
      <c r="AG21" s="1"/>
      <c r="AI21" s="54" t="s">
        <v>203</v>
      </c>
      <c r="AJ21" s="49"/>
      <c r="AK21" s="49"/>
      <c r="AL21" s="49"/>
      <c r="AM21" s="49"/>
    </row>
    <row r="22" spans="1:39" ht="15.75" customHeight="1" x14ac:dyDescent="0.2">
      <c r="A22" s="1"/>
      <c r="B22" s="1"/>
      <c r="C22" s="1"/>
      <c r="D22" s="1"/>
      <c r="E22" s="1"/>
      <c r="F22" s="1"/>
      <c r="G22" s="1"/>
      <c r="H22" s="1"/>
      <c r="I22" s="1"/>
      <c r="J22" s="1"/>
      <c r="K22" s="1"/>
      <c r="L22" s="1"/>
      <c r="M22" s="1"/>
      <c r="N22" s="1"/>
      <c r="O22" s="1"/>
      <c r="P22" s="1"/>
      <c r="Q22" s="1"/>
      <c r="R22" s="1"/>
      <c r="S22" s="1"/>
      <c r="T22" s="1"/>
      <c r="U22" s="1" t="s">
        <v>60</v>
      </c>
      <c r="V22" s="1"/>
      <c r="W22" s="1"/>
      <c r="X22" s="1"/>
      <c r="Y22" s="1"/>
      <c r="Z22" s="1"/>
      <c r="AA22" s="1"/>
      <c r="AB22" s="1"/>
      <c r="AC22" s="1" t="s">
        <v>61</v>
      </c>
      <c r="AD22" s="1"/>
      <c r="AE22" s="1"/>
      <c r="AF22" s="1"/>
      <c r="AG22" s="1"/>
      <c r="AI22" s="49" t="s">
        <v>249</v>
      </c>
      <c r="AJ22" s="49"/>
      <c r="AK22" s="49"/>
      <c r="AL22" s="49"/>
      <c r="AM22" s="49"/>
    </row>
    <row r="23" spans="1:39" ht="15.75" customHeight="1" x14ac:dyDescent="0.2">
      <c r="A23" s="1"/>
      <c r="B23" s="1" t="str" cm="1">
        <f t="array" ref="B23">_xlfn.IFS($D$6=Validation!$O$2,U23,$D$6=Validation!$O$3,AC23,$D$6=Validation!$O$4,AI23)</f>
        <v>Voltage of the battery</v>
      </c>
      <c r="C23" s="1"/>
      <c r="D23" s="1"/>
      <c r="E23" s="44"/>
      <c r="F23" s="1" t="str" cm="1">
        <f t="array" ref="F23">_xlfn.IFS($D$6=Validation!$O$2,Y23,$D$6=Validation!$O$3,AG23,$D$6=Validation!$O$4,AM23)</f>
        <v>Volt</v>
      </c>
      <c r="G23" s="1"/>
      <c r="H23" s="1"/>
      <c r="I23" s="1"/>
      <c r="J23" s="1"/>
      <c r="K23" s="1"/>
      <c r="L23" s="1"/>
      <c r="M23" s="1"/>
      <c r="N23" s="1"/>
      <c r="O23" s="1"/>
      <c r="P23" s="1"/>
      <c r="Q23" s="1"/>
      <c r="R23" s="1"/>
      <c r="S23" s="1"/>
      <c r="T23" s="1"/>
      <c r="U23" s="1" t="s">
        <v>62</v>
      </c>
      <c r="V23" s="1"/>
      <c r="W23" s="1"/>
      <c r="X23" s="57">
        <v>12</v>
      </c>
      <c r="Y23" s="1" t="s">
        <v>41</v>
      </c>
      <c r="Z23" s="1"/>
      <c r="AA23" s="1"/>
      <c r="AB23" s="1"/>
      <c r="AC23" s="1" t="s">
        <v>63</v>
      </c>
      <c r="AD23" s="1"/>
      <c r="AE23" s="1"/>
      <c r="AF23" s="57">
        <v>12</v>
      </c>
      <c r="AG23" s="1" t="s">
        <v>41</v>
      </c>
      <c r="AI23" s="49" t="s">
        <v>213</v>
      </c>
      <c r="AJ23" s="49"/>
      <c r="AK23" s="49"/>
      <c r="AL23" s="58"/>
      <c r="AM23" s="49" t="s">
        <v>41</v>
      </c>
    </row>
    <row r="24" spans="1:39" ht="15.75" customHeight="1" x14ac:dyDescent="0.2">
      <c r="A24" s="1"/>
      <c r="B24" s="1" t="str" cm="1">
        <f t="array" ref="B24">_xlfn.IFS($D$6=Validation!$O$2,U24,$D$6=Validation!$O$3,AC24,$D$6=Validation!$O$4,AI24)</f>
        <v>Battery capacity in Ampere-hours (Ah)</v>
      </c>
      <c r="C24" s="1"/>
      <c r="D24" s="1"/>
      <c r="E24" s="44"/>
      <c r="F24" s="1" t="str" cm="1">
        <f t="array" ref="F24">_xlfn.IFS($D$6=Validation!$O$2,Y24,$D$6=Validation!$O$3,AG24,$D$6=Validation!$O$4,AM24)</f>
        <v>Ah</v>
      </c>
      <c r="G24" s="1"/>
      <c r="H24" s="1"/>
      <c r="I24" s="1"/>
      <c r="J24" s="1"/>
      <c r="K24" s="1"/>
      <c r="L24" s="1"/>
      <c r="M24" s="1"/>
      <c r="N24" s="1"/>
      <c r="O24" s="1"/>
      <c r="P24" s="1"/>
      <c r="Q24" s="1"/>
      <c r="R24" s="1"/>
      <c r="S24" s="1"/>
      <c r="T24" s="1"/>
      <c r="U24" s="1" t="s">
        <v>64</v>
      </c>
      <c r="V24" s="1"/>
      <c r="W24" s="1"/>
      <c r="X24" s="57">
        <v>105</v>
      </c>
      <c r="Y24" s="1" t="s">
        <v>65</v>
      </c>
      <c r="Z24" s="1"/>
      <c r="AA24" s="1"/>
      <c r="AB24" s="1"/>
      <c r="AC24" s="1" t="s">
        <v>66</v>
      </c>
      <c r="AD24" s="1"/>
      <c r="AE24" s="1"/>
      <c r="AF24" s="57">
        <v>105</v>
      </c>
      <c r="AG24" s="1" t="s">
        <v>65</v>
      </c>
      <c r="AI24" s="49" t="s">
        <v>214</v>
      </c>
      <c r="AJ24" s="49"/>
      <c r="AK24" s="49"/>
      <c r="AL24" s="58"/>
      <c r="AM24" s="49" t="s">
        <v>65</v>
      </c>
    </row>
    <row r="25" spans="1:39" ht="15.75" customHeight="1" x14ac:dyDescent="0.2">
      <c r="A25" s="1"/>
      <c r="B25" s="1" t="str" cm="1">
        <f t="array" ref="B25">_xlfn.IFS($D$6=Validation!$O$2,U25,$D$6=Validation!$O$3,AC25,$D$6=Validation!$O$4,AI25)</f>
        <v>Battery capacity in Watt-hours (Wh)</v>
      </c>
      <c r="C25" s="1"/>
      <c r="D25" s="1"/>
      <c r="E25" s="18">
        <f>E24*E23</f>
        <v>0</v>
      </c>
      <c r="F25" s="1" t="str" cm="1">
        <f t="array" ref="F25">_xlfn.IFS($D$6=Validation!$O$2,Y25,$D$6=Validation!$O$3,AG25,$D$6=Validation!$O$4,AM25)</f>
        <v>Wh</v>
      </c>
      <c r="G25" s="1"/>
      <c r="H25" s="1"/>
      <c r="I25" s="1"/>
      <c r="J25" s="1"/>
      <c r="K25" s="1"/>
      <c r="L25" s="1"/>
      <c r="M25" s="1"/>
      <c r="N25" s="1"/>
      <c r="O25" s="1"/>
      <c r="P25" s="1"/>
      <c r="Q25" s="1"/>
      <c r="R25" s="1"/>
      <c r="S25" s="1"/>
      <c r="T25" s="1"/>
      <c r="U25" s="1" t="s">
        <v>67</v>
      </c>
      <c r="V25" s="1"/>
      <c r="W25" s="1"/>
      <c r="X25" s="60">
        <f>X24*X23</f>
        <v>1260</v>
      </c>
      <c r="Y25" s="1" t="s">
        <v>68</v>
      </c>
      <c r="Z25" s="1"/>
      <c r="AA25" s="1"/>
      <c r="AB25" s="1"/>
      <c r="AC25" s="1" t="s">
        <v>69</v>
      </c>
      <c r="AD25" s="1"/>
      <c r="AE25" s="1"/>
      <c r="AF25" s="60">
        <f>AF24*AF23</f>
        <v>1260</v>
      </c>
      <c r="AG25" s="1" t="s">
        <v>68</v>
      </c>
      <c r="AI25" s="49" t="s">
        <v>215</v>
      </c>
      <c r="AJ25" s="49"/>
      <c r="AK25" s="49"/>
      <c r="AL25" s="58"/>
      <c r="AM25" s="49" t="s">
        <v>68</v>
      </c>
    </row>
    <row r="26" spans="1:39" ht="15.7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I26" s="49"/>
      <c r="AJ26" s="49"/>
      <c r="AK26" s="49"/>
      <c r="AL26" s="49"/>
      <c r="AM26" s="49"/>
    </row>
    <row r="27" spans="1:39" ht="15.75" customHeight="1" x14ac:dyDescent="0.2">
      <c r="A27" s="1"/>
      <c r="B27" s="4" t="str" cm="1">
        <f t="array" ref="B27">_xlfn.IFS($D$6=Validation!$O$2,U27,$D$6=Validation!$O$3,AC27,$D$6=Validation!$O$4,AI27)</f>
        <v>Connecting batteries in series or parallel</v>
      </c>
      <c r="C27" s="1"/>
      <c r="D27" s="1"/>
      <c r="E27" s="1"/>
      <c r="F27" s="1"/>
      <c r="G27" s="1"/>
      <c r="H27" s="1"/>
      <c r="I27" s="1"/>
      <c r="J27" s="1"/>
      <c r="K27" s="1"/>
      <c r="L27" s="1"/>
      <c r="M27" s="1"/>
      <c r="N27" s="1"/>
      <c r="O27" s="1"/>
      <c r="P27" s="1"/>
      <c r="Q27" s="1"/>
      <c r="R27" s="1"/>
      <c r="S27" s="1"/>
      <c r="T27" s="1"/>
      <c r="U27" s="4" t="s">
        <v>70</v>
      </c>
      <c r="V27" s="1"/>
      <c r="W27" s="1"/>
      <c r="X27" s="1"/>
      <c r="Y27" s="1"/>
      <c r="Z27" s="1"/>
      <c r="AA27" s="1"/>
      <c r="AB27" s="1"/>
      <c r="AC27" s="4" t="s">
        <v>71</v>
      </c>
      <c r="AD27" s="1"/>
      <c r="AE27" s="1"/>
      <c r="AF27" s="1"/>
      <c r="AG27" s="1"/>
      <c r="AI27" s="54" t="s">
        <v>204</v>
      </c>
      <c r="AJ27" s="49"/>
      <c r="AK27" s="49"/>
      <c r="AL27" s="49"/>
      <c r="AM27" s="49"/>
    </row>
    <row r="28" spans="1:39" ht="15.75" customHeight="1" x14ac:dyDescent="0.2">
      <c r="A28" s="1"/>
      <c r="B28" s="1" t="str" cm="1">
        <f t="array" ref="B28">_xlfn.IFS($D$6=Validation!$O$2,U28,$D$6=Validation!$O$3,AC28,$D$6=Validation!$O$4,AI28)</f>
        <v>How many batteries you want to connect</v>
      </c>
      <c r="C28" s="1"/>
      <c r="D28" s="1"/>
      <c r="E28" s="44"/>
      <c r="F28" s="1" t="str" cm="1">
        <f t="array" ref="F28">_xlfn.IFS($D$6=Validation!$O$2,Y28,$D$6=Validation!$O$3,AG28,$D$6=Validation!$O$4,AM28)</f>
        <v>Batteries</v>
      </c>
      <c r="G28" s="1"/>
      <c r="H28" s="1"/>
      <c r="I28" s="1"/>
      <c r="J28" s="1"/>
      <c r="K28" s="1"/>
      <c r="L28" s="1"/>
      <c r="M28" s="1"/>
      <c r="N28" s="1"/>
      <c r="O28" s="1"/>
      <c r="P28" s="1"/>
      <c r="Q28" s="1"/>
      <c r="R28" s="1"/>
      <c r="S28" s="1"/>
      <c r="T28" s="1"/>
      <c r="U28" s="1" t="s">
        <v>72</v>
      </c>
      <c r="V28" s="1"/>
      <c r="W28" s="1"/>
      <c r="X28" s="57">
        <v>2</v>
      </c>
      <c r="Y28" s="1" t="s">
        <v>73</v>
      </c>
      <c r="Z28" s="1"/>
      <c r="AA28" s="1"/>
      <c r="AB28" s="1"/>
      <c r="AC28" s="1" t="s">
        <v>74</v>
      </c>
      <c r="AD28" s="1"/>
      <c r="AE28" s="1"/>
      <c r="AF28" s="57">
        <v>2</v>
      </c>
      <c r="AG28" s="1" t="s">
        <v>75</v>
      </c>
      <c r="AI28" s="49" t="s">
        <v>250</v>
      </c>
      <c r="AJ28" s="49"/>
      <c r="AK28" s="49"/>
      <c r="AL28" s="58"/>
      <c r="AM28" s="49" t="s">
        <v>75</v>
      </c>
    </row>
    <row r="29" spans="1:39" ht="15.75" customHeight="1" x14ac:dyDescent="0.2">
      <c r="A29" s="1"/>
      <c r="B29" s="1" t="str" cm="1">
        <f t="array" ref="B29">_xlfn.IFS($D$6=Validation!$O$2,U29,$D$6=Validation!$O$3,AC29,$D$6=Validation!$O$4,AI29)</f>
        <v>What is the voltage per battery</v>
      </c>
      <c r="C29" s="1"/>
      <c r="D29" s="1"/>
      <c r="E29" s="44"/>
      <c r="F29" s="1" t="str" cm="1">
        <f t="array" ref="F29">_xlfn.IFS($D$6=Validation!$O$2,Y29,$D$6=Validation!$O$3,AG29,$D$6=Validation!$O$4,AM29)</f>
        <v>V</v>
      </c>
      <c r="G29" s="1"/>
      <c r="H29" s="1"/>
      <c r="I29" s="1"/>
      <c r="J29" s="1"/>
      <c r="K29" s="1"/>
      <c r="L29" s="1"/>
      <c r="M29" s="1"/>
      <c r="N29" s="1"/>
      <c r="O29" s="1"/>
      <c r="P29" s="1"/>
      <c r="Q29" s="1"/>
      <c r="R29" s="1"/>
      <c r="S29" s="1"/>
      <c r="T29" s="1"/>
      <c r="U29" s="1" t="s">
        <v>76</v>
      </c>
      <c r="V29" s="1"/>
      <c r="W29" s="1"/>
      <c r="X29" s="57">
        <v>12</v>
      </c>
      <c r="Y29" s="1" t="s">
        <v>77</v>
      </c>
      <c r="Z29" s="1"/>
      <c r="AA29" s="1"/>
      <c r="AB29" s="1"/>
      <c r="AC29" s="1" t="s">
        <v>78</v>
      </c>
      <c r="AD29" s="1"/>
      <c r="AE29" s="1"/>
      <c r="AF29" s="57">
        <v>12</v>
      </c>
      <c r="AG29" s="1" t="s">
        <v>77</v>
      </c>
      <c r="AI29" s="49" t="s">
        <v>216</v>
      </c>
      <c r="AJ29" s="49"/>
      <c r="AK29" s="49"/>
      <c r="AL29" s="58"/>
      <c r="AM29" s="49" t="s">
        <v>77</v>
      </c>
    </row>
    <row r="30" spans="1:39" ht="15.75" customHeight="1" x14ac:dyDescent="0.2">
      <c r="A30" s="1"/>
      <c r="B30" s="1" t="str" cm="1">
        <f t="array" ref="B30">_xlfn.IFS($D$6=Validation!$O$2,U30,$D$6=Validation!$O$3,AC30,$D$6=Validation!$O$4,AI30)</f>
        <v>Capacity per battery in Ah</v>
      </c>
      <c r="C30" s="1"/>
      <c r="D30" s="1"/>
      <c r="E30" s="44"/>
      <c r="F30" s="1" t="str" cm="1">
        <f t="array" ref="F30">_xlfn.IFS($D$6=Validation!$O$2,Y30,$D$6=Validation!$O$3,AG30,$D$6=Validation!$O$4,AM30)</f>
        <v>Ah</v>
      </c>
      <c r="G30" s="1"/>
      <c r="H30" s="1"/>
      <c r="I30" s="1"/>
      <c r="J30" s="1"/>
      <c r="K30" s="1"/>
      <c r="L30" s="1"/>
      <c r="M30" s="1"/>
      <c r="N30" s="1"/>
      <c r="O30" s="1"/>
      <c r="P30" s="1"/>
      <c r="Q30" s="1"/>
      <c r="R30" s="1"/>
      <c r="S30" s="1"/>
      <c r="T30" s="1"/>
      <c r="U30" s="1" t="s">
        <v>79</v>
      </c>
      <c r="V30" s="1"/>
      <c r="W30" s="1"/>
      <c r="X30" s="57">
        <v>200</v>
      </c>
      <c r="Y30" s="1" t="s">
        <v>65</v>
      </c>
      <c r="Z30" s="1"/>
      <c r="AA30" s="1"/>
      <c r="AB30" s="1"/>
      <c r="AC30" s="1" t="s">
        <v>80</v>
      </c>
      <c r="AD30" s="1"/>
      <c r="AE30" s="1"/>
      <c r="AF30" s="57">
        <v>200</v>
      </c>
      <c r="AG30" s="1" t="s">
        <v>65</v>
      </c>
      <c r="AI30" s="49" t="s">
        <v>217</v>
      </c>
      <c r="AJ30" s="49"/>
      <c r="AK30" s="49"/>
      <c r="AL30" s="58"/>
      <c r="AM30" s="49" t="s">
        <v>65</v>
      </c>
    </row>
    <row r="31" spans="1:39" ht="15.75" customHeight="1" x14ac:dyDescent="0.2">
      <c r="A31" s="1"/>
      <c r="B31" s="1" t="str" cm="1">
        <f t="array" ref="B31">_xlfn.IFS($D$6=Validation!$O$2,U31,$D$6=Validation!$O$3,AC31,$D$6=Validation!$O$4,AI31)</f>
        <v>Do you want to connect the batteries in series or parallel?</v>
      </c>
      <c r="C31" s="1"/>
      <c r="D31" s="1"/>
      <c r="E31" s="44"/>
      <c r="F31" s="1"/>
      <c r="G31" s="1"/>
      <c r="H31" s="1"/>
      <c r="I31" s="1"/>
      <c r="J31" s="1"/>
      <c r="K31" s="1"/>
      <c r="L31" s="1"/>
      <c r="M31" s="1"/>
      <c r="N31" s="1"/>
      <c r="O31" s="1"/>
      <c r="P31" s="1"/>
      <c r="Q31" s="1"/>
      <c r="R31" s="1"/>
      <c r="S31" s="1"/>
      <c r="T31" s="1"/>
      <c r="U31" s="1" t="s">
        <v>81</v>
      </c>
      <c r="V31" s="1"/>
      <c r="W31" s="1"/>
      <c r="X31" s="57" t="s">
        <v>32</v>
      </c>
      <c r="Y31" s="1"/>
      <c r="Z31" s="1"/>
      <c r="AA31" s="1"/>
      <c r="AB31" s="1"/>
      <c r="AC31" s="1" t="s">
        <v>82</v>
      </c>
      <c r="AD31" s="1"/>
      <c r="AE31" s="1"/>
      <c r="AF31" s="57" t="s">
        <v>32</v>
      </c>
      <c r="AG31" s="1"/>
      <c r="AI31" s="49" t="s">
        <v>205</v>
      </c>
      <c r="AJ31" s="49"/>
      <c r="AK31" s="49"/>
      <c r="AL31" s="58"/>
      <c r="AM31" s="49"/>
    </row>
    <row r="32" spans="1:39" ht="15.75" customHeight="1" x14ac:dyDescent="0.2">
      <c r="A32" s="1"/>
      <c r="B32" s="1" t="str" cm="1">
        <f t="array" ref="B32">_xlfn.IFS($D$6=Validation!$O$2,U32,$D$6=Validation!$O$3,AC32,$D$6=Validation!$O$4,AI32)</f>
        <v>The calculated voltage</v>
      </c>
      <c r="C32" s="1"/>
      <c r="D32" s="1"/>
      <c r="E32" s="18">
        <f>IF(E31="Parallel",E29,E29*E28)</f>
        <v>0</v>
      </c>
      <c r="F32" s="1" t="str" cm="1">
        <f t="array" ref="F32">_xlfn.IFS($D$6=Validation!$O$2,Y32,$D$6=Validation!$O$3,AG32,$D$6=Validation!$O$4,AM32)</f>
        <v>V</v>
      </c>
      <c r="G32" s="1"/>
      <c r="H32" s="1"/>
      <c r="I32" s="1"/>
      <c r="J32" s="1"/>
      <c r="K32" s="1"/>
      <c r="L32" s="1"/>
      <c r="M32" s="1"/>
      <c r="N32" s="1"/>
      <c r="O32" s="1"/>
      <c r="P32" s="1"/>
      <c r="Q32" s="1"/>
      <c r="R32" s="1"/>
      <c r="S32" s="1"/>
      <c r="T32" s="1"/>
      <c r="U32" s="1" t="s">
        <v>83</v>
      </c>
      <c r="V32" s="1"/>
      <c r="W32" s="1"/>
      <c r="X32" s="60">
        <f>IF(X31="In serie",X29*X28,X29)</f>
        <v>24</v>
      </c>
      <c r="Y32" s="1" t="s">
        <v>77</v>
      </c>
      <c r="Z32" s="1"/>
      <c r="AA32" s="1"/>
      <c r="AB32" s="1"/>
      <c r="AC32" s="1" t="s">
        <v>84</v>
      </c>
      <c r="AD32" s="1"/>
      <c r="AE32" s="1"/>
      <c r="AF32" s="60">
        <f>IF(AF31="In serie",AF29*AF28,AF29)</f>
        <v>24</v>
      </c>
      <c r="AG32" s="1" t="s">
        <v>77</v>
      </c>
      <c r="AI32" s="49" t="s">
        <v>218</v>
      </c>
      <c r="AJ32" s="49"/>
      <c r="AK32" s="49"/>
      <c r="AL32" s="58"/>
      <c r="AM32" s="49" t="s">
        <v>77</v>
      </c>
    </row>
    <row r="33" spans="1:39" ht="15.75" customHeight="1" x14ac:dyDescent="0.2">
      <c r="A33" s="1"/>
      <c r="B33" s="1" t="str" cm="1">
        <f t="array" ref="B33">_xlfn.IFS($D$6=Validation!$O$2,U33,$D$6=Validation!$O$3,AC33,$D$6=Validation!$O$4,AI33)</f>
        <v>The calculated capacity in Ah</v>
      </c>
      <c r="C33" s="1"/>
      <c r="D33" s="1"/>
      <c r="E33" s="18">
        <f>IF(E31="parallel",E28*E30,E30)</f>
        <v>0</v>
      </c>
      <c r="F33" s="1" t="str" cm="1">
        <f t="array" ref="F33">_xlfn.IFS($D$6=Validation!$O$2,Y33,$D$6=Validation!$O$3,AG33,$D$6=Validation!$O$4,AM33)</f>
        <v>Ah</v>
      </c>
      <c r="G33" s="1"/>
      <c r="H33" s="1"/>
      <c r="I33" s="1"/>
      <c r="J33" s="1"/>
      <c r="K33" s="1"/>
      <c r="L33" s="1"/>
      <c r="M33" s="1"/>
      <c r="N33" s="1"/>
      <c r="O33" s="1"/>
      <c r="P33" s="1"/>
      <c r="Q33" s="1"/>
      <c r="R33" s="1"/>
      <c r="S33" s="1"/>
      <c r="T33" s="1"/>
      <c r="U33" s="1" t="s">
        <v>85</v>
      </c>
      <c r="V33" s="1"/>
      <c r="W33" s="1"/>
      <c r="X33" s="60">
        <f>IF(X31="parallel",X28*X30,X30)</f>
        <v>200</v>
      </c>
      <c r="Y33" s="1" t="s">
        <v>65</v>
      </c>
      <c r="Z33" s="1"/>
      <c r="AA33" s="1"/>
      <c r="AB33" s="1"/>
      <c r="AC33" s="1" t="s">
        <v>86</v>
      </c>
      <c r="AD33" s="1"/>
      <c r="AE33" s="1"/>
      <c r="AF33" s="60">
        <f>IF(AF31="parallel",AF28*AF30,AF30)</f>
        <v>200</v>
      </c>
      <c r="AG33" s="1" t="s">
        <v>65</v>
      </c>
      <c r="AI33" s="49" t="s">
        <v>219</v>
      </c>
      <c r="AJ33" s="49"/>
      <c r="AK33" s="49"/>
      <c r="AL33" s="58"/>
      <c r="AM33" s="49" t="s">
        <v>65</v>
      </c>
    </row>
    <row r="34" spans="1:39" ht="15.75" customHeight="1" x14ac:dyDescent="0.2">
      <c r="A34" s="1"/>
      <c r="B34" s="1" t="str" cm="1">
        <f t="array" ref="B34">_xlfn.IFS($D$6=Validation!$O$2,U34,$D$6=Validation!$O$3,AC34,$D$6=Validation!$O$4,AI34)</f>
        <v>Calculated capacity in Wh</v>
      </c>
      <c r="C34" s="1"/>
      <c r="D34" s="1"/>
      <c r="E34" s="18">
        <f>E33*E32</f>
        <v>0</v>
      </c>
      <c r="F34" s="1" t="str" cm="1">
        <f t="array" ref="F34">_xlfn.IFS($D$6=Validation!$O$2,Y34,$D$6=Validation!$O$3,AG34,$D$6=Validation!$O$4,AM34)</f>
        <v>Wh</v>
      </c>
      <c r="G34" s="1"/>
      <c r="H34" s="1"/>
      <c r="I34" s="1"/>
      <c r="J34" s="1"/>
      <c r="K34" s="1"/>
      <c r="L34" s="1"/>
      <c r="M34" s="1"/>
      <c r="N34" s="1"/>
      <c r="O34" s="1"/>
      <c r="P34" s="1"/>
      <c r="Q34" s="1"/>
      <c r="R34" s="1"/>
      <c r="S34" s="1"/>
      <c r="T34" s="1"/>
      <c r="U34" s="1" t="s">
        <v>87</v>
      </c>
      <c r="V34" s="1"/>
      <c r="W34" s="1"/>
      <c r="X34" s="60">
        <f>X33*X32</f>
        <v>4800</v>
      </c>
      <c r="Y34" s="1" t="s">
        <v>68</v>
      </c>
      <c r="Z34" s="1"/>
      <c r="AA34" s="1"/>
      <c r="AB34" s="1"/>
      <c r="AC34" s="1" t="s">
        <v>88</v>
      </c>
      <c r="AD34" s="1"/>
      <c r="AE34" s="1"/>
      <c r="AF34" s="60">
        <f>AF33*AF32</f>
        <v>4800</v>
      </c>
      <c r="AG34" s="1" t="s">
        <v>68</v>
      </c>
      <c r="AI34" s="49" t="s">
        <v>220</v>
      </c>
      <c r="AJ34" s="49"/>
      <c r="AK34" s="49"/>
      <c r="AL34" s="58"/>
      <c r="AM34" s="49" t="s">
        <v>68</v>
      </c>
    </row>
    <row r="35" spans="1:39" ht="15.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row>
    <row r="36" spans="1:39" ht="15.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row>
    <row r="37" spans="1:39" ht="15.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row>
    <row r="38" spans="1:39" ht="15.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row>
    <row r="39" spans="1:39" ht="15.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row>
    <row r="40" spans="1:39" ht="15.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row>
    <row r="41" spans="1:39" ht="15.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row>
    <row r="42" spans="1:39" ht="15.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row>
    <row r="43" spans="1:39" ht="15.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row>
    <row r="44" spans="1:39" ht="15.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row>
    <row r="45" spans="1:39" ht="15.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row>
    <row r="46" spans="1:39" ht="15.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row>
    <row r="47" spans="1:39" ht="15.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row>
    <row r="48" spans="1:39" ht="15.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row>
    <row r="49" spans="1:33" ht="15.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row>
    <row r="50" spans="1:33"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row>
    <row r="51" spans="1:33"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row>
    <row r="52" spans="1:33"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row>
    <row r="53" spans="1:33"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row>
    <row r="54" spans="1:33"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row>
    <row r="55" spans="1:33"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row>
    <row r="56" spans="1:33"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row>
    <row r="57" spans="1:33"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row>
    <row r="58" spans="1:33"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row>
    <row r="59" spans="1:33"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row>
    <row r="60" spans="1:33"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row>
    <row r="61" spans="1:33"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row>
    <row r="62" spans="1:33"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row>
    <row r="63" spans="1:33"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row>
    <row r="64" spans="1:33"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row>
    <row r="65" spans="1:33"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row>
    <row r="66" spans="1:33"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row>
    <row r="67" spans="1:33"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row>
    <row r="68" spans="1:33"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row>
    <row r="69" spans="1:33"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row>
    <row r="70" spans="1:33"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row>
    <row r="71" spans="1:33"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row>
    <row r="72" spans="1:33"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row>
    <row r="73" spans="1:33"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row>
    <row r="74" spans="1:33"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row>
    <row r="75" spans="1:33"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row>
    <row r="76" spans="1:33"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row>
    <row r="77" spans="1:33"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row>
    <row r="78" spans="1:33"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row>
    <row r="79" spans="1:33"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row>
    <row r="80" spans="1:33"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row>
    <row r="81" spans="1:33"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row>
    <row r="82" spans="1:33"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row>
    <row r="83" spans="1:33"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row>
    <row r="84" spans="1:33"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row>
    <row r="85" spans="1:33"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row>
    <row r="86" spans="1:33"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row>
    <row r="87" spans="1:33"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row>
    <row r="88" spans="1:33"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row>
    <row r="89" spans="1:33"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row>
    <row r="90" spans="1:33"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row>
    <row r="91" spans="1:33"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row>
    <row r="92" spans="1:33"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row>
    <row r="93" spans="1:33"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row>
    <row r="94" spans="1:33"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row>
    <row r="95" spans="1:33"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row>
    <row r="96" spans="1:33"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row>
    <row r="97" spans="1:33"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row>
    <row r="98" spans="1:33"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row>
    <row r="99" spans="1:33"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row>
    <row r="100" spans="1:33"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row>
    <row r="101" spans="1:33"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row>
    <row r="102" spans="1:33"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row>
    <row r="103" spans="1:33"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row>
    <row r="104" spans="1:33"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row>
    <row r="105" spans="1:33"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row>
    <row r="106" spans="1:33"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row>
    <row r="107" spans="1:33"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row>
    <row r="108" spans="1:33"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row>
    <row r="109" spans="1:33"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row>
    <row r="110" spans="1:33"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row>
    <row r="111" spans="1:33"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row>
    <row r="112" spans="1:33"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row>
    <row r="113" spans="1:33"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row>
    <row r="114" spans="1:33"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row>
    <row r="115" spans="1:33"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row>
    <row r="116" spans="1:33"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row>
    <row r="117" spans="1:33"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row>
    <row r="118" spans="1:33"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row>
    <row r="119" spans="1:33"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row>
    <row r="120" spans="1:33"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row>
    <row r="121" spans="1:33"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row>
    <row r="122" spans="1:33"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row>
    <row r="123" spans="1:33"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row>
    <row r="124" spans="1:33"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row>
    <row r="125" spans="1:33"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row>
    <row r="126" spans="1:33"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row>
    <row r="127" spans="1:33"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row>
    <row r="128" spans="1:33"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row>
    <row r="129" spans="1:33"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row>
    <row r="130" spans="1:33"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row>
    <row r="131" spans="1:33"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row>
    <row r="132" spans="1:33"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row>
    <row r="133" spans="1:33"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row>
    <row r="134" spans="1:33"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row>
    <row r="135" spans="1:33"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row>
    <row r="136" spans="1:33"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row>
    <row r="137" spans="1:33"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row>
    <row r="138" spans="1:33"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row>
    <row r="139" spans="1:33"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row>
    <row r="140" spans="1:33"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row>
    <row r="141" spans="1:33"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row>
    <row r="142" spans="1:33"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row>
    <row r="143" spans="1:33"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row>
    <row r="144" spans="1:33"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row>
    <row r="145" spans="1:33"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row>
    <row r="146" spans="1:33"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row>
    <row r="147" spans="1:33"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row>
    <row r="148" spans="1:33"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row>
    <row r="149" spans="1:33"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row>
    <row r="150" spans="1:33"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row>
    <row r="151" spans="1:33"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row>
    <row r="152" spans="1:33"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row>
    <row r="153" spans="1:33"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row>
    <row r="154" spans="1:33"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row>
    <row r="155" spans="1:33"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row>
    <row r="156" spans="1:33"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row>
    <row r="157" spans="1:33"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row>
    <row r="158" spans="1:33"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row>
    <row r="159" spans="1:33"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row>
    <row r="160" spans="1:33"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row>
    <row r="161" spans="1:33"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row>
    <row r="162" spans="1:33"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row>
    <row r="163" spans="1:33"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row>
    <row r="164" spans="1:33"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row>
    <row r="165" spans="1:33"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row>
    <row r="166" spans="1:33"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row>
    <row r="167" spans="1:33"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row>
    <row r="168" spans="1:33"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row>
    <row r="169" spans="1:33"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row>
    <row r="170" spans="1:33"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row>
    <row r="171" spans="1:33"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row>
    <row r="172" spans="1:33"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row>
    <row r="173" spans="1:33"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row>
    <row r="174" spans="1:33"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row>
    <row r="175" spans="1:33"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row>
    <row r="176" spans="1:33"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row>
    <row r="177" spans="1:33"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row>
    <row r="178" spans="1:33"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row>
    <row r="179" spans="1:33"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row>
    <row r="180" spans="1:33"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row>
    <row r="181" spans="1:33"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row>
    <row r="182" spans="1:33"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row>
    <row r="183" spans="1:33"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row>
    <row r="184" spans="1:33"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row>
    <row r="185" spans="1:33"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row>
    <row r="186" spans="1:33"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row>
    <row r="187" spans="1:33"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row>
    <row r="188" spans="1:33"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row>
    <row r="189" spans="1:33"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row>
    <row r="190" spans="1:33"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row>
    <row r="191" spans="1:33"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row>
    <row r="192" spans="1:33"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row>
    <row r="193" spans="1:33"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row>
    <row r="194" spans="1:33"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row>
    <row r="195" spans="1:33"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row>
    <row r="196" spans="1:33"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row>
    <row r="197" spans="1:33"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row>
    <row r="198" spans="1:33"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row>
    <row r="199" spans="1:33"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row>
    <row r="200" spans="1:33"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row>
    <row r="201" spans="1:33"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row>
    <row r="202" spans="1:33"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row>
    <row r="203" spans="1:33"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row>
    <row r="204" spans="1:33"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row>
    <row r="205" spans="1:33"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row>
    <row r="206" spans="1:33"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row>
    <row r="207" spans="1:33"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row>
    <row r="208" spans="1:33"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row>
    <row r="209" spans="1:33"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row>
    <row r="210" spans="1:33"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row>
    <row r="211" spans="1:33"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row>
    <row r="212" spans="1:33"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row>
    <row r="213" spans="1:33"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row>
    <row r="214" spans="1:33"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row>
    <row r="215" spans="1:33"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row>
    <row r="216" spans="1:33"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row>
    <row r="217" spans="1:33"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row>
    <row r="218" spans="1:33"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row>
    <row r="219" spans="1:33"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row>
    <row r="220" spans="1:33"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row>
    <row r="221" spans="1:33"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row>
    <row r="222" spans="1:33"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row>
    <row r="223" spans="1:33"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row>
    <row r="224" spans="1:33"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row>
    <row r="225" spans="1:33"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row>
    <row r="226" spans="1:33"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row>
    <row r="227" spans="1:33"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row>
    <row r="228" spans="1:33"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row>
    <row r="229" spans="1:33"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row>
    <row r="230" spans="1:33"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row>
    <row r="231" spans="1:33"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row>
    <row r="232" spans="1:33"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row>
    <row r="233" spans="1:33"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row>
    <row r="234" spans="1:33"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row>
    <row r="235" spans="1:33"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row>
    <row r="236" spans="1:33"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row>
    <row r="237" spans="1:33"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row>
    <row r="238" spans="1:33"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row>
    <row r="239" spans="1:33"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row>
    <row r="240" spans="1:33"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row>
    <row r="241" spans="1:33"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row>
    <row r="242" spans="1:33"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row>
    <row r="243" spans="1:33"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row>
    <row r="244" spans="1:33"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row>
    <row r="245" spans="1:33"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row>
    <row r="246" spans="1:33"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row>
    <row r="247" spans="1:33"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row>
    <row r="248" spans="1:33"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row>
    <row r="249" spans="1:33"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row>
    <row r="250" spans="1:33"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row>
    <row r="251" spans="1:33"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row>
    <row r="252" spans="1:33"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row>
    <row r="253" spans="1:33"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row>
    <row r="254" spans="1:33"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row>
    <row r="255" spans="1:33"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row>
    <row r="256" spans="1:33"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row>
    <row r="257" spans="1:33"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row>
    <row r="258" spans="1:33"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row>
    <row r="259" spans="1:33"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row>
    <row r="260" spans="1:33"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row>
    <row r="261" spans="1:33"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row>
    <row r="262" spans="1:33"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row>
    <row r="263" spans="1:33"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row>
    <row r="264" spans="1:33"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row>
    <row r="265" spans="1:33"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row>
    <row r="266" spans="1:33"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row>
    <row r="267" spans="1:33"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row>
    <row r="268" spans="1:33"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row>
    <row r="269" spans="1:33"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row>
    <row r="270" spans="1:33"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row>
    <row r="271" spans="1:33"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row>
    <row r="272" spans="1:33"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row>
    <row r="273" spans="1:33"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row>
    <row r="274" spans="1:33"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row>
    <row r="275" spans="1:33"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row>
    <row r="276" spans="1:33"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row>
    <row r="277" spans="1:33"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row>
    <row r="278" spans="1:33"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row>
    <row r="279" spans="1:33"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row>
    <row r="280" spans="1:33"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row>
    <row r="281" spans="1:33"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row>
    <row r="282" spans="1:33"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row>
    <row r="283" spans="1:33"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row>
    <row r="284" spans="1:33"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row>
    <row r="285" spans="1:33"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row>
    <row r="286" spans="1:33"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row>
    <row r="287" spans="1:33"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row>
    <row r="288" spans="1:33"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row>
    <row r="289" spans="1:33"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row>
    <row r="290" spans="1:33"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row>
    <row r="291" spans="1:33"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row>
    <row r="292" spans="1:33"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row>
    <row r="293" spans="1:33"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row>
    <row r="294" spans="1:33"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row>
    <row r="295" spans="1:33"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row>
    <row r="296" spans="1:33"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row>
    <row r="297" spans="1:33"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row>
    <row r="298" spans="1:33"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row>
    <row r="299" spans="1:33"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row>
    <row r="300" spans="1:33"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row>
    <row r="301" spans="1:33"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row>
    <row r="302" spans="1:33"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row>
    <row r="303" spans="1:33"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row>
    <row r="304" spans="1:33"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row>
    <row r="305" spans="1:33"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row>
    <row r="306" spans="1:33"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row>
    <row r="307" spans="1:33"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row>
    <row r="308" spans="1:33"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row>
    <row r="309" spans="1:33"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row>
    <row r="310" spans="1:33"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row>
    <row r="311" spans="1:33"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row>
    <row r="312" spans="1:33"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row>
    <row r="313" spans="1:33"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row>
    <row r="314" spans="1:33"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row>
    <row r="315" spans="1:33"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row>
    <row r="316" spans="1:33"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row>
    <row r="317" spans="1:33"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row>
    <row r="318" spans="1:33"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row>
    <row r="319" spans="1:33"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row>
    <row r="320" spans="1:33"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row>
    <row r="321" spans="1:33"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row>
    <row r="322" spans="1:33"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row>
    <row r="323" spans="1:33"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row>
    <row r="324" spans="1:33"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row>
    <row r="325" spans="1:33"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row>
    <row r="326" spans="1:33"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row>
    <row r="327" spans="1:33"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row>
    <row r="328" spans="1:33"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row>
    <row r="329" spans="1:33"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row>
    <row r="330" spans="1:33"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row>
    <row r="331" spans="1:33"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row>
    <row r="332" spans="1:33"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row>
    <row r="333" spans="1:33"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row>
    <row r="334" spans="1:33"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row>
    <row r="335" spans="1:33"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row>
    <row r="336" spans="1:33"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row>
    <row r="337" spans="1:33"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row>
    <row r="338" spans="1:33"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row>
    <row r="339" spans="1:33"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row>
    <row r="340" spans="1:33"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row>
    <row r="341" spans="1:33"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row>
    <row r="342" spans="1:33"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row>
    <row r="343" spans="1:33"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row>
    <row r="344" spans="1:33"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row>
    <row r="345" spans="1:33"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row>
    <row r="346" spans="1:33"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row>
    <row r="347" spans="1:33"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row>
    <row r="348" spans="1:33"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row>
    <row r="349" spans="1:33"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row>
    <row r="350" spans="1:33"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row>
    <row r="351" spans="1:33"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row>
    <row r="352" spans="1:33"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row>
    <row r="353" spans="1:33"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row>
    <row r="354" spans="1:33"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row>
    <row r="355" spans="1:33"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row>
    <row r="356" spans="1:33"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row>
    <row r="357" spans="1:33"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row>
    <row r="358" spans="1:33"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row>
    <row r="359" spans="1:33"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row>
    <row r="360" spans="1:33"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row>
    <row r="361" spans="1:33"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row>
    <row r="362" spans="1:33"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row>
    <row r="363" spans="1:33"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row>
    <row r="364" spans="1:33"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row>
    <row r="365" spans="1:33"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row>
    <row r="366" spans="1:33"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row>
    <row r="367" spans="1:33"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row>
    <row r="368" spans="1:33"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row>
    <row r="369" spans="1:33"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row>
    <row r="370" spans="1:33"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row>
    <row r="371" spans="1:33"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row>
    <row r="372" spans="1:33"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row>
    <row r="373" spans="1:33"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row>
    <row r="374" spans="1:33"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row>
    <row r="375" spans="1:33"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row>
    <row r="376" spans="1:33"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row>
    <row r="377" spans="1:33"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row>
    <row r="378" spans="1:33"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row>
    <row r="379" spans="1:33"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row>
    <row r="380" spans="1:33"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row>
    <row r="381" spans="1:33"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row>
    <row r="382" spans="1:33"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row>
    <row r="383" spans="1:33"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row>
    <row r="384" spans="1:33"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row>
    <row r="385" spans="1:33"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row>
    <row r="386" spans="1:33"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row>
    <row r="387" spans="1:33"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row>
    <row r="388" spans="1:33"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row>
    <row r="389" spans="1:33"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row>
    <row r="390" spans="1:33"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row>
    <row r="391" spans="1:33"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row>
    <row r="392" spans="1:33"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row>
    <row r="393" spans="1:33"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row>
    <row r="394" spans="1:33"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row>
    <row r="395" spans="1:33"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row>
    <row r="396" spans="1:33"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row>
    <row r="397" spans="1:33"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row>
    <row r="398" spans="1:33"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row>
    <row r="399" spans="1:33"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row>
    <row r="400" spans="1:33"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row>
    <row r="401" spans="1:33"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row>
    <row r="402" spans="1:33"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row>
    <row r="403" spans="1:33"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row>
    <row r="404" spans="1:33"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row>
    <row r="405" spans="1:33"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row>
    <row r="406" spans="1:33"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row>
    <row r="407" spans="1:33"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row>
    <row r="408" spans="1:33"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row>
    <row r="409" spans="1:33"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row>
    <row r="410" spans="1:33"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row>
    <row r="411" spans="1:33"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row>
    <row r="412" spans="1:33"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row>
    <row r="413" spans="1:33"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row>
    <row r="414" spans="1:33"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row>
    <row r="415" spans="1:33"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row>
    <row r="416" spans="1:33"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row>
    <row r="417" spans="1:33"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row>
    <row r="418" spans="1:33"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row>
    <row r="419" spans="1:33"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row>
    <row r="420" spans="1:33"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row>
    <row r="421" spans="1:33"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row>
    <row r="422" spans="1:33"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row>
    <row r="423" spans="1:33"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row>
    <row r="424" spans="1:33"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row>
    <row r="425" spans="1:33"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row>
    <row r="426" spans="1:33"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row>
    <row r="427" spans="1:33"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row>
    <row r="428" spans="1:33"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row>
    <row r="429" spans="1:33"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row>
    <row r="430" spans="1:33"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row>
    <row r="431" spans="1:33"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row>
    <row r="432" spans="1:33"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row>
    <row r="433" spans="1:33"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row>
    <row r="434" spans="1:33"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row>
    <row r="435" spans="1:33"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row>
    <row r="436" spans="1:33"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row>
    <row r="437" spans="1:33"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row>
    <row r="438" spans="1:33"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row>
    <row r="439" spans="1:33"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row>
    <row r="440" spans="1:33"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row>
    <row r="441" spans="1:33"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row>
    <row r="442" spans="1:33"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row>
    <row r="443" spans="1:33"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row>
    <row r="444" spans="1:33"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row>
    <row r="445" spans="1:33"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row>
    <row r="446" spans="1:33"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row>
    <row r="447" spans="1:33"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row>
    <row r="448" spans="1:33"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row>
    <row r="449" spans="1:33"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row>
    <row r="450" spans="1:33"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row>
    <row r="451" spans="1:33"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row>
    <row r="452" spans="1:33"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row>
    <row r="453" spans="1:33"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row>
    <row r="454" spans="1:33"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row>
    <row r="455" spans="1:33"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row>
    <row r="456" spans="1:33"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row>
    <row r="457" spans="1:33"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row>
    <row r="458" spans="1:33"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row>
    <row r="459" spans="1:33"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row>
    <row r="460" spans="1:33"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row>
    <row r="461" spans="1:33"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row>
    <row r="462" spans="1:33"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row>
    <row r="463" spans="1:33"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row>
    <row r="464" spans="1:33"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row>
    <row r="465" spans="1:33"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row>
    <row r="466" spans="1:33"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row>
    <row r="467" spans="1:33"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row>
    <row r="468" spans="1:33"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row>
    <row r="469" spans="1:33"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row>
    <row r="470" spans="1:33"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row>
    <row r="471" spans="1:33"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row>
    <row r="472" spans="1:33"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row>
    <row r="473" spans="1:33"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row>
    <row r="474" spans="1:33"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row>
    <row r="475" spans="1:33"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row>
    <row r="476" spans="1:33"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row>
    <row r="477" spans="1:33"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row>
    <row r="478" spans="1:33"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row>
    <row r="479" spans="1:33"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row>
    <row r="480" spans="1:33"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row>
    <row r="481" spans="1:33"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row>
    <row r="482" spans="1:33"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row>
    <row r="483" spans="1:33"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row>
    <row r="484" spans="1:33"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row>
    <row r="485" spans="1:33"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row>
    <row r="486" spans="1:33"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row>
    <row r="487" spans="1:33"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row>
    <row r="488" spans="1:33"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row>
    <row r="489" spans="1:33"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row>
    <row r="490" spans="1:33"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row>
    <row r="491" spans="1:33"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row>
    <row r="492" spans="1:33"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row>
    <row r="493" spans="1:33"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row>
    <row r="494" spans="1:33"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row>
    <row r="495" spans="1:33"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row>
    <row r="496" spans="1:33"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row>
    <row r="497" spans="1:33"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row>
    <row r="498" spans="1:33"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row>
    <row r="499" spans="1:33"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row>
    <row r="500" spans="1:33"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row>
    <row r="501" spans="1:33"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row>
    <row r="502" spans="1:33"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row>
    <row r="503" spans="1:33"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row>
    <row r="504" spans="1:33"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row>
    <row r="505" spans="1:33"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row>
    <row r="506" spans="1:33"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row>
    <row r="507" spans="1:33"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row>
    <row r="508" spans="1:33"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row>
    <row r="509" spans="1:33"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row>
    <row r="510" spans="1:33"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row>
    <row r="511" spans="1:33"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row>
    <row r="512" spans="1:33"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row>
    <row r="513" spans="1:33"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row>
    <row r="514" spans="1:33"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row>
    <row r="515" spans="1:33"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row>
    <row r="516" spans="1:33"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row>
    <row r="517" spans="1:33"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row>
    <row r="518" spans="1:33"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row>
    <row r="519" spans="1:33"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row>
    <row r="520" spans="1:33"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row>
    <row r="521" spans="1:33"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row>
    <row r="522" spans="1:33"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row>
    <row r="523" spans="1:33"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row>
    <row r="524" spans="1:33"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row>
    <row r="525" spans="1:33"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row>
    <row r="526" spans="1:33"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row>
    <row r="527" spans="1:33"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row>
    <row r="528" spans="1:33"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row>
    <row r="529" spans="1:33"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row>
    <row r="530" spans="1:33"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row>
    <row r="531" spans="1:33"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row>
    <row r="532" spans="1:33"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row>
    <row r="533" spans="1:33"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row>
    <row r="534" spans="1:33"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row>
    <row r="535" spans="1:33"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row>
    <row r="536" spans="1:33" ht="15.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row>
    <row r="537" spans="1:33" ht="15.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row>
    <row r="538" spans="1:33" ht="15.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row>
    <row r="539" spans="1:33" ht="15.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row>
    <row r="540" spans="1:33" ht="15.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row>
    <row r="541" spans="1:33" ht="15.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row>
    <row r="542" spans="1:33" ht="15.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row>
    <row r="543" spans="1:33" ht="15.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row>
    <row r="544" spans="1:33" ht="15.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row>
    <row r="545" spans="1:33" ht="15.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row>
    <row r="546" spans="1:33" ht="15.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row>
    <row r="547" spans="1:33" ht="15.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row>
    <row r="548" spans="1:33" ht="15.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row>
    <row r="549" spans="1:33" ht="15.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row>
    <row r="550" spans="1:33" ht="15.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row>
    <row r="551" spans="1:33" ht="15.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row>
    <row r="552" spans="1:33" ht="15.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row>
    <row r="553" spans="1:33" ht="15.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row>
    <row r="554" spans="1:33" ht="15.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row>
    <row r="555" spans="1:33" ht="15.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row>
    <row r="556" spans="1:33" ht="15.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row>
    <row r="557" spans="1:33" ht="15.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row>
    <row r="558" spans="1:33" ht="15.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row>
    <row r="559" spans="1:33" ht="15.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row>
    <row r="560" spans="1:33" ht="15.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row>
    <row r="561" spans="1:33" ht="15.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row>
    <row r="562" spans="1:33" ht="15.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row>
    <row r="563" spans="1:33" ht="15.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row>
    <row r="564" spans="1:33" ht="15.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row>
    <row r="565" spans="1:33" ht="15.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row>
    <row r="566" spans="1:33" ht="15.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row>
    <row r="567" spans="1:33" ht="15.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row>
    <row r="568" spans="1:33" ht="15.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row>
    <row r="569" spans="1:33" ht="15.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row>
    <row r="570" spans="1:33" ht="15.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row>
    <row r="571" spans="1:33" ht="15.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row>
    <row r="572" spans="1:33" ht="15.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row>
    <row r="573" spans="1:33" ht="15.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row>
    <row r="574" spans="1:33" ht="15.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row>
    <row r="575" spans="1:33" ht="15.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row>
    <row r="576" spans="1:33" ht="15.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row>
    <row r="577" spans="1:33" ht="15.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row>
    <row r="578" spans="1:33" ht="15.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row>
    <row r="579" spans="1:33" ht="15.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row>
    <row r="580" spans="1:33" ht="15.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row>
    <row r="581" spans="1:33" ht="15.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row>
    <row r="582" spans="1:33" ht="15.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row>
    <row r="583" spans="1:33" ht="15.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row>
    <row r="584" spans="1:33" ht="15.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row>
    <row r="585" spans="1:33" ht="15.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row>
    <row r="586" spans="1:33" ht="15.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row>
    <row r="587" spans="1:33" ht="15.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row>
    <row r="588" spans="1:33" ht="15.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row>
    <row r="589" spans="1:33" ht="15.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row>
    <row r="590" spans="1:33" ht="15.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row>
    <row r="591" spans="1:33" ht="15.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row>
    <row r="592" spans="1:33" ht="15.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row>
    <row r="593" spans="1:33" ht="15.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row>
    <row r="594" spans="1:33" ht="15.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row>
    <row r="595" spans="1:33" ht="15.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row>
    <row r="596" spans="1:33" ht="15.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row>
    <row r="597" spans="1:33" ht="15.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row>
    <row r="598" spans="1:33" ht="15.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row>
    <row r="599" spans="1:33" ht="15.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row>
    <row r="600" spans="1:33" ht="15.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row>
    <row r="601" spans="1:33" ht="15.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row>
    <row r="602" spans="1:33" ht="15.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row>
    <row r="603" spans="1:33" ht="15.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row>
    <row r="604" spans="1:33" ht="15.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row>
    <row r="605" spans="1:33" ht="15.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row>
    <row r="606" spans="1:33" ht="15.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row>
    <row r="607" spans="1:33" ht="15.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row>
    <row r="608" spans="1:33" ht="15.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row>
    <row r="609" spans="1:33" ht="15.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row>
    <row r="610" spans="1:33" ht="15.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row>
    <row r="611" spans="1:33" ht="15.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row>
    <row r="612" spans="1:33" ht="15.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row>
    <row r="613" spans="1:33" ht="15.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row>
    <row r="614" spans="1:33" ht="15.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row>
    <row r="615" spans="1:33" ht="15.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row>
    <row r="616" spans="1:33" ht="15.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row>
    <row r="617" spans="1:33" ht="15.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row>
    <row r="618" spans="1:33" ht="15.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row>
    <row r="619" spans="1:33" ht="15.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row>
    <row r="620" spans="1:33" ht="15.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row>
    <row r="621" spans="1:33" ht="15.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row>
    <row r="622" spans="1:33" ht="15.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row>
    <row r="623" spans="1:33" ht="15.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row>
    <row r="624" spans="1:33" ht="15.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row>
    <row r="625" spans="1:33" ht="15.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row>
    <row r="626" spans="1:33" ht="15.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row>
    <row r="627" spans="1:33" ht="15.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row>
    <row r="628" spans="1:33" ht="15.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row>
    <row r="629" spans="1:33" ht="15.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row>
    <row r="630" spans="1:33" ht="15.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row>
    <row r="631" spans="1:33" ht="15.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row>
    <row r="632" spans="1:33" ht="15.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row>
    <row r="633" spans="1:33" ht="15.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row>
    <row r="634" spans="1:33" ht="15.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row>
    <row r="635" spans="1:33" ht="15.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row>
    <row r="636" spans="1:33" ht="15.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row>
    <row r="637" spans="1:33" ht="15.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row>
    <row r="638" spans="1:33" ht="15.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row>
    <row r="639" spans="1:33" ht="15.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row>
    <row r="640" spans="1:33" ht="15.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row>
    <row r="641" spans="1:33" ht="15.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row>
    <row r="642" spans="1:33" ht="15.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row>
    <row r="643" spans="1:33" ht="15.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row>
    <row r="644" spans="1:33" ht="15.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row>
    <row r="645" spans="1:33" ht="15.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row>
    <row r="646" spans="1:33" ht="15.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row>
    <row r="647" spans="1:33" ht="15.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row>
    <row r="648" spans="1:33" ht="15.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row>
    <row r="649" spans="1:33" ht="15.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row>
    <row r="650" spans="1:33" ht="15.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row>
    <row r="651" spans="1:33" ht="15.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row>
    <row r="652" spans="1:33" ht="15.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row>
    <row r="653" spans="1:33" ht="15.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row>
    <row r="654" spans="1:33" ht="15.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row>
    <row r="655" spans="1:33" ht="15.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row>
    <row r="656" spans="1:33" ht="15.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row>
    <row r="657" spans="1:33" ht="15.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row>
    <row r="658" spans="1:33" ht="15.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row>
    <row r="659" spans="1:33" ht="15.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row>
    <row r="660" spans="1:33" ht="15.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row>
    <row r="661" spans="1:33" ht="15.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row>
    <row r="662" spans="1:33" ht="15.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row>
    <row r="663" spans="1:33" ht="15.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row>
    <row r="664" spans="1:33" ht="15.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row>
    <row r="665" spans="1:33" ht="15.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row>
    <row r="666" spans="1:33" ht="15.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row>
    <row r="667" spans="1:33" ht="15.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row>
    <row r="668" spans="1:33" ht="15.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row>
    <row r="669" spans="1:33" ht="15.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row>
    <row r="670" spans="1:33" ht="15.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row>
    <row r="671" spans="1:33" ht="15.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row>
    <row r="672" spans="1:33" ht="15.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row>
    <row r="673" spans="1:33" ht="15.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row>
    <row r="674" spans="1:33" ht="15.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row>
    <row r="675" spans="1:33" ht="15.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row>
    <row r="676" spans="1:33" ht="15.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row>
    <row r="677" spans="1:33" ht="15.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row>
    <row r="678" spans="1:33" ht="15.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row>
    <row r="679" spans="1:33" ht="15.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row>
    <row r="680" spans="1:33" ht="15.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row>
    <row r="681" spans="1:33" ht="15.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row>
    <row r="682" spans="1:33" ht="15.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row>
    <row r="683" spans="1:33" ht="15.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row>
    <row r="684" spans="1:33" ht="15.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row>
    <row r="685" spans="1:33" ht="15.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row>
    <row r="686" spans="1:33" ht="15.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row>
    <row r="687" spans="1:33" ht="15.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row>
    <row r="688" spans="1:33" ht="15.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row>
    <row r="689" spans="1:33" ht="15.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row>
    <row r="690" spans="1:33" ht="15.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row>
    <row r="691" spans="1:33" ht="15.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row>
    <row r="692" spans="1:33" ht="15.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row>
    <row r="693" spans="1:33" ht="15.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row>
    <row r="694" spans="1:33" ht="15.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row>
    <row r="695" spans="1:33" ht="15.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row>
    <row r="696" spans="1:33" ht="15.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row>
    <row r="697" spans="1:33" ht="15.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row>
    <row r="698" spans="1:33" ht="15.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row>
    <row r="699" spans="1:33" ht="15.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row>
    <row r="700" spans="1:33" ht="15.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row>
    <row r="701" spans="1:33" ht="15.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row>
    <row r="702" spans="1:33" ht="15.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row>
    <row r="703" spans="1:33" ht="15.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row>
    <row r="704" spans="1:33" ht="15.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row>
    <row r="705" spans="1:33" ht="15.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row>
    <row r="706" spans="1:33" ht="15.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row>
    <row r="707" spans="1:33" ht="15.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row>
    <row r="708" spans="1:33" ht="15.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row>
    <row r="709" spans="1:33" ht="15.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row>
    <row r="710" spans="1:33" ht="15.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row>
    <row r="711" spans="1:33" ht="15.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row>
    <row r="712" spans="1:33" ht="15.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row>
    <row r="713" spans="1:33" ht="15.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row>
    <row r="714" spans="1:33" ht="15.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row>
    <row r="715" spans="1:33" ht="15.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row>
    <row r="716" spans="1:33" ht="15.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row>
    <row r="717" spans="1:33" ht="15.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row>
    <row r="718" spans="1:33" ht="15.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row>
    <row r="719" spans="1:33" ht="15.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row>
    <row r="720" spans="1:33" ht="15.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row>
    <row r="721" spans="1:33" ht="15.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row>
    <row r="722" spans="1:33" ht="15.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row>
    <row r="723" spans="1:33" ht="15.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row>
    <row r="724" spans="1:33" ht="15.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row>
    <row r="725" spans="1:33" ht="15.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row>
    <row r="726" spans="1:33" ht="15.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row>
    <row r="727" spans="1:33" ht="15.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row>
    <row r="728" spans="1:33" ht="15.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row>
    <row r="729" spans="1:33" ht="15.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row>
    <row r="730" spans="1:33" ht="15.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row>
    <row r="731" spans="1:33" ht="15.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row>
    <row r="732" spans="1:33" ht="15.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row>
    <row r="733" spans="1:33" ht="15.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row>
    <row r="734" spans="1:33" ht="15.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row>
    <row r="735" spans="1:33" ht="15.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row>
    <row r="736" spans="1:33" ht="15.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row>
    <row r="737" spans="1:33" ht="15.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row>
    <row r="738" spans="1:33" ht="15.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row>
    <row r="739" spans="1:33" ht="15.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row>
    <row r="740" spans="1:33" ht="15.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row>
    <row r="741" spans="1:33" ht="15.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row>
    <row r="742" spans="1:33" ht="15.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row>
    <row r="743" spans="1:33" ht="15.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row>
    <row r="744" spans="1:33" ht="15.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row>
    <row r="745" spans="1:33" ht="15.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row>
    <row r="746" spans="1:33" ht="15.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row>
    <row r="747" spans="1:33" ht="15.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row>
    <row r="748" spans="1:33" ht="15.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row>
    <row r="749" spans="1:33" ht="15.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row>
    <row r="750" spans="1:33" ht="15.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row>
    <row r="751" spans="1:33" ht="15.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row>
    <row r="752" spans="1:33" ht="15.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row>
    <row r="753" spans="1:33" ht="15.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row>
    <row r="754" spans="1:33" ht="15.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row>
    <row r="755" spans="1:33" ht="15.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row>
    <row r="756" spans="1:33" ht="15.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row>
    <row r="757" spans="1:33" ht="15.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row>
    <row r="758" spans="1:33" ht="15.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row>
    <row r="759" spans="1:33" ht="15.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row>
    <row r="760" spans="1:33" ht="15.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row>
    <row r="761" spans="1:33" ht="15.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row>
    <row r="762" spans="1:33" ht="15.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row>
    <row r="763" spans="1:33" ht="15.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row>
    <row r="764" spans="1:33" ht="15.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row>
    <row r="765" spans="1:33" ht="15.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row>
    <row r="766" spans="1:33" ht="15.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row>
    <row r="767" spans="1:33" ht="15.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row>
    <row r="768" spans="1:33" ht="15.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row>
    <row r="769" spans="1:33" ht="15.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row>
    <row r="770" spans="1:33" ht="15.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row>
    <row r="771" spans="1:33" ht="15.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row>
    <row r="772" spans="1:33" ht="15.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row>
    <row r="773" spans="1:33" ht="15.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row>
    <row r="774" spans="1:33" ht="15.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row>
    <row r="775" spans="1:33" ht="15.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row>
    <row r="776" spans="1:33" ht="15.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row>
    <row r="777" spans="1:33" ht="15.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row>
    <row r="778" spans="1:33" ht="15.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row>
    <row r="779" spans="1:33" ht="15.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row>
    <row r="780" spans="1:33" ht="15.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row>
    <row r="781" spans="1:33" ht="15.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row>
    <row r="782" spans="1:33" ht="15.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row>
    <row r="783" spans="1:33" ht="15.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row>
    <row r="784" spans="1:33" ht="15.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row>
    <row r="785" spans="1:33" ht="15.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row>
    <row r="786" spans="1:33" ht="15.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row>
    <row r="787" spans="1:33" ht="15.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row>
    <row r="788" spans="1:33" ht="15.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row>
    <row r="789" spans="1:33" ht="15.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row>
    <row r="790" spans="1:33" ht="15.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row>
    <row r="791" spans="1:33" ht="15.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row>
    <row r="792" spans="1:33" ht="15.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row>
    <row r="793" spans="1:33" ht="15.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row>
    <row r="794" spans="1:33" ht="15.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row>
    <row r="795" spans="1:33" ht="15.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row>
    <row r="796" spans="1:33" ht="15.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row>
    <row r="797" spans="1:33" ht="15.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row>
    <row r="798" spans="1:33" ht="15.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row>
    <row r="799" spans="1:33" ht="15.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row>
    <row r="800" spans="1:33" ht="15.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row>
    <row r="801" spans="1:33" ht="15.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row>
    <row r="802" spans="1:33" ht="15.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row>
    <row r="803" spans="1:33" ht="15.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row>
    <row r="804" spans="1:33" ht="15.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row>
    <row r="805" spans="1:33" ht="15.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row>
    <row r="806" spans="1:33" ht="15.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row>
    <row r="807" spans="1:33" ht="15.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row>
    <row r="808" spans="1:33" ht="15.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row>
    <row r="809" spans="1:33" ht="15.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row>
    <row r="810" spans="1:33" ht="15.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row>
    <row r="811" spans="1:33" ht="15.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row>
    <row r="812" spans="1:33" ht="15.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row>
    <row r="813" spans="1:33" ht="15.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row>
    <row r="814" spans="1:33" ht="15.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row>
    <row r="815" spans="1:33" ht="15.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row>
    <row r="816" spans="1:33" ht="15.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row>
    <row r="817" spans="1:33" ht="15.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row>
    <row r="818" spans="1:33" ht="15.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row>
    <row r="819" spans="1:33" ht="15.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row>
    <row r="820" spans="1:33" ht="15.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row>
    <row r="821" spans="1:33" ht="15.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row>
    <row r="822" spans="1:33" ht="15.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row>
    <row r="823" spans="1:33" ht="15.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row>
    <row r="824" spans="1:33" ht="15.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row>
    <row r="825" spans="1:33" ht="15.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row>
    <row r="826" spans="1:33" ht="15.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row>
    <row r="827" spans="1:33" ht="15.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row>
    <row r="828" spans="1:33" ht="15.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row>
    <row r="829" spans="1:33" ht="15.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row>
    <row r="830" spans="1:33" ht="15.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row>
    <row r="831" spans="1:33" ht="15.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row>
    <row r="832" spans="1:33" ht="15.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row>
    <row r="833" spans="1:33" ht="15.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row>
    <row r="834" spans="1:33" ht="15.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row>
    <row r="835" spans="1:33" ht="15.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row>
    <row r="836" spans="1:33" ht="15.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row>
    <row r="837" spans="1:33" ht="15.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row>
    <row r="838" spans="1:33" ht="15.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row>
    <row r="839" spans="1:33" ht="15.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row>
    <row r="840" spans="1:33" ht="15.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row>
    <row r="841" spans="1:33" ht="15.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row>
    <row r="842" spans="1:33" ht="15.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row>
    <row r="843" spans="1:33" ht="15.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row>
    <row r="844" spans="1:33" ht="15.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row>
    <row r="845" spans="1:33" ht="15.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row>
    <row r="846" spans="1:33" ht="15.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row>
    <row r="847" spans="1:33" ht="15.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row>
    <row r="848" spans="1:33" ht="15.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row>
    <row r="849" spans="1:33" ht="15.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row>
    <row r="850" spans="1:33" ht="15.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row>
    <row r="851" spans="1:33" ht="15.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row>
    <row r="852" spans="1:33" ht="15.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row>
    <row r="853" spans="1:33" ht="15.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row>
    <row r="854" spans="1:33" ht="15.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row>
    <row r="855" spans="1:33" ht="15.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row>
    <row r="856" spans="1:33" ht="15.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row>
    <row r="857" spans="1:33" ht="15.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row>
    <row r="858" spans="1:33" ht="15.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row>
    <row r="859" spans="1:33" ht="15.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row>
    <row r="860" spans="1:33" ht="15.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row>
    <row r="861" spans="1:33" ht="15.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row>
    <row r="862" spans="1:33" ht="15.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row>
    <row r="863" spans="1:33" ht="15.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row>
    <row r="864" spans="1:33" ht="15.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row>
    <row r="865" spans="1:33" ht="15.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row>
    <row r="866" spans="1:33" ht="15.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row>
    <row r="867" spans="1:33" ht="15.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row>
    <row r="868" spans="1:33" ht="15.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row>
    <row r="869" spans="1:33" ht="15.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row>
    <row r="870" spans="1:33" ht="15.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row>
    <row r="871" spans="1:33" ht="15.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row>
    <row r="872" spans="1:33" ht="15.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row>
    <row r="873" spans="1:33" ht="15.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row>
    <row r="874" spans="1:33" ht="15.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row>
    <row r="875" spans="1:33" ht="15.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row>
    <row r="876" spans="1:33" ht="15.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row>
    <row r="877" spans="1:33" ht="15.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row>
    <row r="878" spans="1:33" ht="15.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row>
    <row r="879" spans="1:33" ht="15.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row>
    <row r="880" spans="1:33" ht="15.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row>
    <row r="881" spans="1:33" ht="15.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row>
    <row r="882" spans="1:33" ht="15.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row>
    <row r="883" spans="1:33" ht="15.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row>
    <row r="884" spans="1:33" ht="15.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row>
    <row r="885" spans="1:33" ht="15.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row>
    <row r="886" spans="1:33" ht="15.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row>
    <row r="887" spans="1:33" ht="15.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row>
    <row r="888" spans="1:33" ht="15.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row>
    <row r="889" spans="1:33" ht="15.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row>
    <row r="890" spans="1:33" ht="15.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row>
    <row r="891" spans="1:33" ht="15.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row>
    <row r="892" spans="1:33" ht="15.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row>
    <row r="893" spans="1:33" ht="15.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row>
    <row r="894" spans="1:33" ht="15.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row>
    <row r="895" spans="1:33" ht="15.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row>
    <row r="896" spans="1:33" ht="15.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row>
    <row r="897" spans="1:33" ht="15.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row>
    <row r="898" spans="1:33" ht="15.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row>
    <row r="899" spans="1:33" ht="15.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row>
    <row r="900" spans="1:33" ht="15.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row>
    <row r="901" spans="1:33" ht="15.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row>
    <row r="902" spans="1:33" ht="15.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row>
    <row r="903" spans="1:33" ht="15.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row>
    <row r="904" spans="1:33" ht="15.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row>
    <row r="905" spans="1:33" ht="15.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row>
    <row r="906" spans="1:33" ht="15.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row>
    <row r="907" spans="1:33" ht="15.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row>
    <row r="908" spans="1:33" ht="15.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row>
    <row r="909" spans="1:33" ht="15.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row>
    <row r="910" spans="1:33" ht="15.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row>
    <row r="911" spans="1:33" ht="15.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row>
    <row r="912" spans="1:33" ht="15.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row>
    <row r="913" spans="1:33" ht="15.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row>
    <row r="914" spans="1:33" ht="15.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row>
    <row r="915" spans="1:33" ht="15.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row>
    <row r="916" spans="1:33" ht="15.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row>
    <row r="917" spans="1:33" ht="15.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row>
    <row r="918" spans="1:33" ht="15.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row>
    <row r="919" spans="1:33" ht="15.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row>
    <row r="920" spans="1:33" ht="15.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row>
    <row r="921" spans="1:33" ht="15.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row>
    <row r="922" spans="1:33" ht="15.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row>
    <row r="923" spans="1:33" ht="15.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row>
    <row r="924" spans="1:33" ht="15.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row>
    <row r="925" spans="1:33" ht="15.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row>
    <row r="926" spans="1:33" ht="15.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row>
    <row r="927" spans="1:33" ht="15.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row>
    <row r="928" spans="1:33" ht="15.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row>
    <row r="929" spans="1:33" ht="15.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row>
    <row r="930" spans="1:33" ht="15.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row>
    <row r="931" spans="1:33" ht="15.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row>
    <row r="932" spans="1:33" ht="15.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row>
    <row r="933" spans="1:33" ht="15.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row>
    <row r="934" spans="1:33" ht="15.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row>
    <row r="935" spans="1:33" ht="15.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row>
    <row r="936" spans="1:33" ht="15.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row>
    <row r="937" spans="1:33" ht="15.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row>
    <row r="938" spans="1:33" ht="15.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row>
    <row r="939" spans="1:33" ht="15.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row>
    <row r="940" spans="1:33" ht="15.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row>
    <row r="941" spans="1:33" ht="15.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row>
    <row r="942" spans="1:33" ht="15.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row>
    <row r="943" spans="1:33" ht="15.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row>
    <row r="944" spans="1:33" ht="15.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row>
    <row r="945" spans="1:33" ht="15.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row>
    <row r="946" spans="1:33" ht="15.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row>
    <row r="947" spans="1:33" ht="15.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row>
    <row r="948" spans="1:33" ht="15.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row>
    <row r="949" spans="1:33" ht="15.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row>
    <row r="950" spans="1:33" ht="15.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row>
    <row r="951" spans="1:33" ht="15.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row>
    <row r="952" spans="1:33" ht="15.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row>
    <row r="953" spans="1:33" ht="15.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row>
    <row r="954" spans="1:33" ht="15.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row>
    <row r="955" spans="1:33" ht="15.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row>
    <row r="956" spans="1:33" ht="15.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row>
    <row r="957" spans="1:33" ht="15.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row>
    <row r="958" spans="1:33" ht="15.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row>
    <row r="959" spans="1:33" ht="15.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row>
    <row r="960" spans="1:33" ht="15.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row>
    <row r="961" spans="1:33" ht="15.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row>
    <row r="962" spans="1:33" ht="15.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row>
    <row r="963" spans="1:33" ht="15.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row>
    <row r="964" spans="1:33" ht="15.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row>
    <row r="965" spans="1:33" ht="15.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row>
    <row r="966" spans="1:33" ht="15.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row>
    <row r="967" spans="1:33" ht="15.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row>
    <row r="968" spans="1:33" ht="15.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row>
    <row r="969" spans="1:33" ht="15.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row>
    <row r="970" spans="1:33" ht="15.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row>
    <row r="971" spans="1:33" ht="15.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row>
    <row r="972" spans="1:33" ht="15.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row>
    <row r="973" spans="1:33" ht="15.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row>
    <row r="974" spans="1:33" ht="15.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row>
    <row r="975" spans="1:33" ht="15.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row>
    <row r="976" spans="1:33" ht="15.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row>
    <row r="977" spans="1:33" ht="15.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row>
    <row r="978" spans="1:33" ht="15.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row>
    <row r="979" spans="1:33" ht="15.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row>
    <row r="980" spans="1:33" ht="15.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row>
    <row r="981" spans="1:33" ht="15.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row>
    <row r="982" spans="1:33" ht="15.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row>
    <row r="983" spans="1:33" ht="15.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row>
    <row r="984" spans="1:33" ht="15.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row>
    <row r="985" spans="1:33" ht="15.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row>
    <row r="986" spans="1:33" ht="15.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row>
    <row r="987" spans="1:33" ht="15.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row>
    <row r="988" spans="1:33" ht="15.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row>
    <row r="989" spans="1:33" ht="15.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row>
    <row r="990" spans="1:33" ht="15.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row>
    <row r="991" spans="1:33" ht="15.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row>
    <row r="992" spans="1:33" ht="15.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row>
    <row r="993" spans="1:33" ht="15.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row>
    <row r="994" spans="1:33" ht="15.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row>
    <row r="995" spans="1:33" ht="15.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row>
    <row r="996" spans="1:33" ht="15.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row>
    <row r="997" spans="1:33" ht="15.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row>
    <row r="998" spans="1:33" ht="15.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row>
    <row r="999" spans="1:33" ht="15.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row>
    <row r="1000" spans="1:33" ht="15.7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row>
  </sheetData>
  <sheetProtection algorithmName="SHA-512" hashValue="JlmmyVNntD7F1IFmraSYsUcARTRmiUJDDXoPaeGW6Pg+5F6gfu7qemG5v8UPfAwatm+RLlab/B8GzT1qllpiLg==" saltValue="br8RIFVY7LBG8eNJLVhVzA==" spinCount="100000" sheet="1" objects="1" scenarios="1"/>
  <dataValidations count="5">
    <dataValidation type="list" allowBlank="1" showErrorMessage="1" sqref="X12 AF12" xr:uid="{00000000-0002-0000-0100-000000000000}">
      <formula1>AJ3:AJ7</formula1>
    </dataValidation>
    <dataValidation type="list" allowBlank="1" showErrorMessage="1" sqref="E12" xr:uid="{00000000-0002-0000-0100-000002000000}">
      <formula1>Q3:Q6</formula1>
    </dataValidation>
    <dataValidation type="list" allowBlank="1" showErrorMessage="1" sqref="E17 X17 AF17" xr:uid="{00000000-0002-0000-0100-000003000000}">
      <formula1>$Q$3:$Q$6</formula1>
    </dataValidation>
    <dataValidation type="list" allowBlank="1" showErrorMessage="1" sqref="AF31 X31" xr:uid="{00000000-0002-0000-0100-000004000000}">
      <formula1>$S$2:$S$3</formula1>
    </dataValidation>
    <dataValidation type="list" allowBlank="1" showErrorMessage="1" sqref="E31" xr:uid="{3C2BD6E1-117D-5842-A5C9-398C31EECD2F}">
      <formula1>Schakelin</formula1>
    </dataValidation>
  </dataValidations>
  <hyperlinks>
    <hyperlink ref="M2" location="'1.Explanation_and_contents'!A1" display="Table of contents" xr:uid="{00000000-0004-0000-0100-000000000000}"/>
  </hyperlinks>
  <pageMargins left="0.75" right="0.75" top="1" bottom="1" header="0" footer="0"/>
  <pageSetup paperSize="9"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EE8D5180-02E6-054C-B592-9F33A4212F08}">
          <x14:formula1>
            <xm:f>Validation!$O$2:$O$4</xm:f>
          </x14:formula1>
          <xm:sqref>D6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S1000"/>
  <sheetViews>
    <sheetView topLeftCell="A9" workbookViewId="0">
      <selection activeCell="C6" sqref="C6"/>
    </sheetView>
  </sheetViews>
  <sheetFormatPr baseColWidth="10" defaultColWidth="11.28515625" defaultRowHeight="15" customHeight="1" x14ac:dyDescent="0.2"/>
  <cols>
    <col min="1" max="1" width="3.42578125" style="39" customWidth="1"/>
    <col min="2" max="2" width="29.85546875" style="39" customWidth="1"/>
    <col min="3" max="3" width="16.5703125" style="39" customWidth="1"/>
    <col min="4" max="4" width="22.5703125" style="39" customWidth="1"/>
    <col min="5" max="5" width="17.85546875" style="39" customWidth="1"/>
    <col min="6" max="7" width="10.7109375" style="39" customWidth="1"/>
    <col min="8" max="8" width="22.140625" style="39" customWidth="1"/>
    <col min="9" max="9" width="10.7109375" style="39" customWidth="1"/>
    <col min="10" max="10" width="12.5703125" style="39" customWidth="1"/>
    <col min="11" max="15" width="10.7109375" style="39" customWidth="1"/>
    <col min="16" max="16" width="23.140625" style="39" hidden="1" customWidth="1"/>
    <col min="17" max="17" width="10.7109375" style="39" hidden="1" customWidth="1"/>
    <col min="18" max="28" width="10.5703125" style="39" hidden="1" customWidth="1"/>
    <col min="29" max="29" width="17.42578125" style="39" hidden="1" customWidth="1"/>
    <col min="30" max="35" width="10.5703125" style="39" hidden="1" customWidth="1"/>
    <col min="36" max="45" width="11.28515625" style="39" hidden="1" customWidth="1"/>
    <col min="46" max="46" width="0" style="39" hidden="1" customWidth="1"/>
    <col min="47" max="16384" width="11.28515625" style="39"/>
  </cols>
  <sheetData>
    <row r="1" spans="1:45" ht="15.75"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45" ht="15.75" customHeight="1" x14ac:dyDescent="0.2">
      <c r="A2" s="1"/>
      <c r="B2" s="1"/>
      <c r="C2" s="1"/>
      <c r="D2" s="1"/>
      <c r="E2" s="1"/>
      <c r="F2" s="1"/>
      <c r="G2" s="1"/>
      <c r="H2" s="3"/>
      <c r="I2" s="4"/>
      <c r="J2" s="1"/>
      <c r="K2" s="1"/>
      <c r="L2" s="1"/>
      <c r="M2" s="16" t="s">
        <v>18</v>
      </c>
      <c r="N2" s="1"/>
      <c r="O2" s="1"/>
      <c r="P2" s="1" t="s">
        <v>89</v>
      </c>
      <c r="Q2" s="1" t="s">
        <v>90</v>
      </c>
      <c r="R2" s="1" t="s">
        <v>91</v>
      </c>
      <c r="S2" s="1"/>
      <c r="T2" s="1"/>
      <c r="U2" s="1"/>
      <c r="V2" s="1"/>
      <c r="W2" s="1"/>
      <c r="X2" s="1"/>
      <c r="Y2" s="1"/>
      <c r="Z2" s="1"/>
      <c r="AA2" s="1"/>
      <c r="AB2" s="1"/>
      <c r="AC2" s="1"/>
      <c r="AD2" s="1"/>
      <c r="AE2" s="1"/>
      <c r="AF2" s="1"/>
      <c r="AG2" s="1"/>
      <c r="AH2" s="1"/>
      <c r="AI2" s="1"/>
    </row>
    <row r="3" spans="1:45" ht="15.75" customHeight="1" x14ac:dyDescent="0.2">
      <c r="A3" s="1"/>
      <c r="B3" s="1"/>
      <c r="C3" s="1"/>
      <c r="D3" s="1"/>
      <c r="E3" s="1"/>
      <c r="F3" s="1"/>
      <c r="G3" s="1"/>
      <c r="H3" s="5"/>
      <c r="I3" s="6"/>
      <c r="J3" s="1"/>
      <c r="K3" s="1"/>
      <c r="L3" s="1"/>
      <c r="M3" s="1"/>
      <c r="N3" s="1"/>
      <c r="O3" s="1"/>
      <c r="P3" s="1" t="s">
        <v>92</v>
      </c>
      <c r="Q3" s="1">
        <v>1</v>
      </c>
      <c r="R3" s="1">
        <v>1</v>
      </c>
      <c r="S3" s="1"/>
      <c r="T3" s="1"/>
      <c r="U3" s="1"/>
      <c r="V3" s="1"/>
      <c r="W3" s="1"/>
      <c r="X3" s="1"/>
      <c r="Y3" s="1"/>
      <c r="Z3" s="1"/>
      <c r="AA3" s="1"/>
      <c r="AB3" s="1"/>
      <c r="AC3" s="1"/>
      <c r="AD3" s="1"/>
      <c r="AE3" s="1"/>
      <c r="AF3" s="1"/>
      <c r="AG3" s="1"/>
      <c r="AH3" s="1"/>
      <c r="AI3" s="1"/>
    </row>
    <row r="4" spans="1:45" ht="15.75" customHeight="1" x14ac:dyDescent="0.2">
      <c r="A4" s="1"/>
      <c r="B4" s="1"/>
      <c r="C4" s="1"/>
      <c r="D4" s="1"/>
      <c r="E4" s="1"/>
      <c r="F4" s="1"/>
      <c r="G4" s="1"/>
      <c r="H4" s="7"/>
      <c r="I4" s="6"/>
      <c r="J4" s="1"/>
      <c r="K4" s="1"/>
      <c r="L4" s="1"/>
      <c r="M4" s="1"/>
      <c r="N4" s="1"/>
      <c r="O4" s="1"/>
      <c r="P4" s="1" t="s">
        <v>93</v>
      </c>
      <c r="Q4" s="1">
        <v>1.17</v>
      </c>
      <c r="R4" s="1">
        <v>0.8</v>
      </c>
      <c r="S4" s="1"/>
      <c r="T4" s="1"/>
      <c r="U4" s="1"/>
      <c r="V4" s="1"/>
      <c r="W4" s="1"/>
      <c r="X4" s="1"/>
      <c r="Y4" s="1"/>
      <c r="Z4" s="1"/>
      <c r="AA4" s="1"/>
      <c r="AB4" s="1"/>
      <c r="AC4" s="1"/>
      <c r="AD4" s="1"/>
      <c r="AE4" s="1"/>
      <c r="AF4" s="1"/>
      <c r="AG4" s="1"/>
      <c r="AH4" s="1"/>
      <c r="AI4" s="1"/>
    </row>
    <row r="5" spans="1:45" ht="15.75" customHeight="1" x14ac:dyDescent="0.2">
      <c r="A5" s="1"/>
      <c r="B5" s="1"/>
      <c r="C5" s="1"/>
      <c r="D5" s="1"/>
      <c r="E5" s="1"/>
      <c r="F5" s="1"/>
      <c r="G5" s="1"/>
      <c r="H5" s="7"/>
      <c r="I5" s="6"/>
      <c r="J5" s="1"/>
      <c r="K5" s="1"/>
      <c r="L5" s="1"/>
      <c r="M5" s="1"/>
      <c r="N5" s="1"/>
      <c r="O5" s="1"/>
      <c r="P5" s="1" t="str" cm="1">
        <f t="array" ref="P5">_xlfn.IFS(C6=Validation!$O$2,"Gelaccu",C6=Validation!$O$3,"Gel battery",C6=Validation!$O$4,"Gel-Batterie")</f>
        <v>Gel battery</v>
      </c>
      <c r="Q5" s="1">
        <v>1.2</v>
      </c>
      <c r="R5" s="1">
        <v>0.8</v>
      </c>
      <c r="S5" s="1"/>
      <c r="T5" s="1"/>
      <c r="U5" s="1"/>
      <c r="V5" s="1"/>
      <c r="W5" s="1"/>
      <c r="X5" s="1"/>
      <c r="Y5" s="1"/>
      <c r="Z5" s="1"/>
      <c r="AA5" s="1"/>
      <c r="AB5" s="1"/>
      <c r="AC5" s="1"/>
      <c r="AD5" s="1"/>
      <c r="AE5" s="1"/>
      <c r="AF5" s="1"/>
      <c r="AG5" s="1"/>
      <c r="AH5" s="1"/>
      <c r="AI5" s="1"/>
    </row>
    <row r="6" spans="1:45" ht="15.75" customHeight="1" x14ac:dyDescent="0.2">
      <c r="A6" s="1"/>
      <c r="B6" s="4" t="s">
        <v>0</v>
      </c>
      <c r="C6" s="44" t="s">
        <v>178</v>
      </c>
      <c r="D6" s="1"/>
      <c r="E6" s="1"/>
      <c r="F6" s="1"/>
      <c r="G6" s="1"/>
      <c r="H6" s="1"/>
      <c r="I6" s="4"/>
      <c r="J6" s="1"/>
      <c r="K6" s="1"/>
      <c r="L6" s="1"/>
      <c r="M6" s="1"/>
      <c r="N6" s="1"/>
      <c r="O6" s="1"/>
      <c r="P6" s="1" t="str" cm="1">
        <f t="array" ref="P6">_xlfn.IFS(C6=Validation!$O$2,"Semi-tractie",C6=Validation!$O$3,"Semi-traction",C6=Validation!$O$4,"Semi-Traktion")</f>
        <v>Semi-traction</v>
      </c>
      <c r="Q6" s="1">
        <v>1.2</v>
      </c>
      <c r="R6" s="1">
        <v>0.75</v>
      </c>
      <c r="S6" s="1"/>
      <c r="T6" s="1"/>
      <c r="U6" s="1"/>
      <c r="V6" s="1"/>
      <c r="W6" s="1"/>
      <c r="X6" s="1"/>
      <c r="Y6" s="1"/>
      <c r="Z6" s="1"/>
      <c r="AA6" s="1"/>
      <c r="AB6" s="1"/>
      <c r="AC6" s="1"/>
      <c r="AD6" s="1"/>
      <c r="AE6" s="1"/>
      <c r="AF6" s="1"/>
      <c r="AG6" s="1"/>
      <c r="AH6" s="1"/>
      <c r="AI6" s="1"/>
    </row>
    <row r="7" spans="1:45" ht="30" x14ac:dyDescent="0.3">
      <c r="A7" s="1"/>
      <c r="B7" s="8" t="str" cm="1">
        <f t="array" ref="B7">_xlfn.IFS($C$6=Validation!$O$2,S7,$C$6=Validation!$O$3,AC7,$C$6=Validation!$O$4,AL7)</f>
        <v>Usable battery capacity and sailing time</v>
      </c>
      <c r="C7" s="1"/>
      <c r="D7" s="1"/>
      <c r="E7" s="1"/>
      <c r="F7" s="1"/>
      <c r="G7" s="1"/>
      <c r="H7" s="1"/>
      <c r="I7" s="1"/>
      <c r="J7" s="1"/>
      <c r="K7" s="1"/>
      <c r="L7" s="1"/>
      <c r="M7" s="1"/>
      <c r="N7" s="1"/>
      <c r="O7" s="1"/>
      <c r="P7" s="1" t="str" cm="1">
        <f t="array" ref="P7">_xlfn.IFS(C6=Validation!$O$2,"Reguliere loodaccu",C6=Validation!$O$3,"Regular lead acid battery",C6=Validation!$O$4,"Normale Bleibatterie")</f>
        <v>Regular lead acid battery</v>
      </c>
      <c r="Q7" s="1">
        <v>1.44</v>
      </c>
      <c r="R7" s="1">
        <v>0.5</v>
      </c>
      <c r="S7" s="8" t="s">
        <v>94</v>
      </c>
      <c r="T7" s="1"/>
      <c r="U7" s="1"/>
      <c r="V7" s="1"/>
      <c r="W7" s="1"/>
      <c r="X7" s="1"/>
      <c r="Y7" s="1"/>
      <c r="Z7" s="1"/>
      <c r="AA7" s="1"/>
      <c r="AB7" s="1"/>
      <c r="AC7" s="8" t="s">
        <v>95</v>
      </c>
      <c r="AD7" s="1"/>
      <c r="AE7" s="1"/>
      <c r="AF7" s="1"/>
      <c r="AG7" s="1"/>
      <c r="AH7" s="1"/>
      <c r="AI7" s="1"/>
      <c r="AL7" s="48" t="s">
        <v>223</v>
      </c>
      <c r="AM7" s="49"/>
      <c r="AN7" s="49"/>
      <c r="AO7" s="49"/>
      <c r="AP7" s="49"/>
      <c r="AQ7" s="49"/>
      <c r="AR7" s="49"/>
      <c r="AS7" s="61"/>
    </row>
    <row r="8" spans="1:45" ht="15.75" customHeight="1" x14ac:dyDescent="0.2">
      <c r="A8" s="1"/>
      <c r="B8" s="1" t="str" cm="1">
        <f t="array" ref="B8">_xlfn.IFS($C$6=Validation!$O$2,S8,$C$6=Validation!$O$3,AC8,$C$6=Validation!$O$4,AL8)</f>
        <v>The indicated battery capacity often differs from the usable battery capacity. This is due to the pod exponent.</v>
      </c>
      <c r="C8" s="1"/>
      <c r="D8" s="1"/>
      <c r="E8" s="1"/>
      <c r="F8" s="1"/>
      <c r="G8" s="1"/>
      <c r="H8" s="1"/>
      <c r="I8" s="1"/>
      <c r="J8" s="1"/>
      <c r="K8" s="1"/>
      <c r="L8" s="1"/>
      <c r="M8" s="1"/>
      <c r="N8" s="1"/>
      <c r="O8" s="1"/>
      <c r="P8" s="1"/>
      <c r="Q8" s="1"/>
      <c r="R8" s="1"/>
      <c r="S8" s="1" t="s">
        <v>96</v>
      </c>
      <c r="T8" s="1"/>
      <c r="U8" s="1"/>
      <c r="V8" s="1"/>
      <c r="W8" s="1"/>
      <c r="X8" s="1"/>
      <c r="Y8" s="1"/>
      <c r="Z8" s="1"/>
      <c r="AA8" s="1"/>
      <c r="AB8" s="1"/>
      <c r="AC8" s="1" t="s">
        <v>97</v>
      </c>
      <c r="AD8" s="1"/>
      <c r="AE8" s="1"/>
      <c r="AF8" s="1"/>
      <c r="AG8" s="1"/>
      <c r="AH8" s="1"/>
      <c r="AI8" s="1"/>
      <c r="AL8" s="49" t="s">
        <v>224</v>
      </c>
      <c r="AM8" s="49"/>
      <c r="AN8" s="49"/>
      <c r="AO8" s="49"/>
      <c r="AP8" s="49"/>
      <c r="AQ8" s="49"/>
      <c r="AR8" s="49"/>
      <c r="AS8" s="61"/>
    </row>
    <row r="9" spans="1:45" ht="15.75" customHeight="1" x14ac:dyDescent="0.2">
      <c r="A9" s="1"/>
      <c r="B9" s="16" t="str" cm="1">
        <f t="array" ref="B9">_xlfn.IFS($C$6=Validation!$O$2,S9,$C$6=Validation!$O$3,AC9,$C$6=Validation!$O$4,AL9)</f>
        <v>More explanation about usable battery capacity can be found here</v>
      </c>
      <c r="C9" s="1"/>
      <c r="D9" s="1"/>
      <c r="E9" s="1"/>
      <c r="F9" s="1"/>
      <c r="G9" s="1"/>
      <c r="H9" s="1"/>
      <c r="I9" s="1"/>
      <c r="J9" s="1"/>
      <c r="K9" s="1"/>
      <c r="L9" s="1"/>
      <c r="M9" s="1"/>
      <c r="N9" s="1"/>
      <c r="O9" s="1"/>
      <c r="P9" s="1"/>
      <c r="Q9" s="1"/>
      <c r="R9" s="1"/>
      <c r="S9" s="16" t="s">
        <v>98</v>
      </c>
      <c r="T9" s="1"/>
      <c r="U9" s="1"/>
      <c r="V9" s="1"/>
      <c r="W9" s="1"/>
      <c r="X9" s="1"/>
      <c r="Y9" s="1"/>
      <c r="Z9" s="1"/>
      <c r="AA9" s="1"/>
      <c r="AB9" s="1"/>
      <c r="AC9" s="16" t="s">
        <v>99</v>
      </c>
      <c r="AD9" s="1"/>
      <c r="AE9" s="1"/>
      <c r="AF9" s="1"/>
      <c r="AG9" s="1"/>
      <c r="AH9" s="1"/>
      <c r="AI9" s="1"/>
      <c r="AL9" s="55" t="s">
        <v>225</v>
      </c>
      <c r="AM9" s="49"/>
      <c r="AN9" s="49"/>
      <c r="AO9" s="49"/>
      <c r="AP9" s="49"/>
      <c r="AQ9" s="49"/>
      <c r="AR9" s="49"/>
      <c r="AS9" s="61"/>
    </row>
    <row r="10" spans="1:45" ht="15.75" customHeight="1" x14ac:dyDescent="0.2">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L10" s="49"/>
      <c r="AM10" s="49"/>
      <c r="AN10" s="49"/>
      <c r="AO10" s="49"/>
      <c r="AP10" s="49"/>
      <c r="AQ10" s="49"/>
      <c r="AR10" s="49"/>
      <c r="AS10" s="61"/>
    </row>
    <row r="11" spans="1:45" ht="15.75" customHeight="1" x14ac:dyDescent="0.2">
      <c r="A11" s="1"/>
      <c r="B11" s="4" t="str" cm="1">
        <f t="array" ref="B11">_xlfn.IFS($C$6=Validation!$O$2,S11,$C$6=Validation!$O$3,AC11,$C$6=Validation!$O$4,AL11)</f>
        <v>Calculating usable battery capacity if you do not know the peukert exponent and the maximum discharge of the battery</v>
      </c>
      <c r="C11" s="1"/>
      <c r="D11" s="1"/>
      <c r="E11" s="1"/>
      <c r="F11" s="1"/>
      <c r="G11" s="1"/>
      <c r="H11" s="1"/>
      <c r="I11" s="1"/>
      <c r="J11" s="1"/>
      <c r="K11" s="1"/>
      <c r="L11" s="1"/>
      <c r="M11" s="1"/>
      <c r="N11" s="1"/>
      <c r="O11" s="1"/>
      <c r="P11" s="1"/>
      <c r="Q11" s="1"/>
      <c r="R11" s="1"/>
      <c r="S11" s="4" t="s">
        <v>100</v>
      </c>
      <c r="T11" s="1"/>
      <c r="U11" s="1"/>
      <c r="V11" s="1"/>
      <c r="W11" s="1"/>
      <c r="X11" s="1"/>
      <c r="Y11" s="1"/>
      <c r="Z11" s="1"/>
      <c r="AA11" s="1"/>
      <c r="AB11" s="1"/>
      <c r="AC11" s="4" t="s">
        <v>101</v>
      </c>
      <c r="AD11" s="1"/>
      <c r="AE11" s="1"/>
      <c r="AF11" s="1"/>
      <c r="AG11" s="1"/>
      <c r="AH11" s="1"/>
      <c r="AI11" s="1"/>
      <c r="AL11" s="54" t="s">
        <v>226</v>
      </c>
      <c r="AM11" s="49"/>
      <c r="AN11" s="49"/>
      <c r="AO11" s="49"/>
      <c r="AP11" s="49"/>
      <c r="AQ11" s="49"/>
      <c r="AR11" s="49"/>
      <c r="AS11" s="61"/>
    </row>
    <row r="12" spans="1:45" ht="15.75" customHeight="1" x14ac:dyDescent="0.2">
      <c r="A12" s="1"/>
      <c r="B12" s="1" t="str" cm="1">
        <f t="array" ref="B12">_xlfn.IFS($C$6=Validation!$O$2,S12,$C$6=Validation!$O$3,AC12,$C$6=Validation!$O$4,AL12)</f>
        <v>Given number of Ah (C20)</v>
      </c>
      <c r="C12" s="1"/>
      <c r="D12" s="1"/>
      <c r="E12" s="45"/>
      <c r="F12" s="1"/>
      <c r="G12" s="1"/>
      <c r="H12" s="1"/>
      <c r="I12" s="1"/>
      <c r="J12" s="1"/>
      <c r="K12" s="1"/>
      <c r="L12" s="1"/>
      <c r="M12" s="1"/>
      <c r="N12" s="1"/>
      <c r="O12" s="1"/>
      <c r="P12" s="1"/>
      <c r="Q12" s="1"/>
      <c r="R12" s="1"/>
      <c r="S12" s="1" t="s">
        <v>102</v>
      </c>
      <c r="T12" s="1"/>
      <c r="U12" s="1"/>
      <c r="V12" s="62"/>
      <c r="W12" s="1"/>
      <c r="X12" s="1"/>
      <c r="Y12" s="1"/>
      <c r="Z12" s="1"/>
      <c r="AA12" s="1"/>
      <c r="AB12" s="1"/>
      <c r="AC12" s="1" t="s">
        <v>103</v>
      </c>
      <c r="AD12" s="1"/>
      <c r="AE12" s="1"/>
      <c r="AF12" s="62"/>
      <c r="AG12" s="1"/>
      <c r="AH12" s="1"/>
      <c r="AI12" s="1"/>
      <c r="AL12" s="49" t="s">
        <v>229</v>
      </c>
      <c r="AM12" s="49"/>
      <c r="AN12" s="49"/>
      <c r="AO12" s="63"/>
      <c r="AP12" s="49"/>
      <c r="AQ12" s="49"/>
      <c r="AR12" s="49"/>
      <c r="AS12" s="61"/>
    </row>
    <row r="13" spans="1:45" ht="15.75" customHeight="1" x14ac:dyDescent="0.2">
      <c r="A13" s="1"/>
      <c r="B13" s="1" t="str" cm="1">
        <f t="array" ref="B13">_xlfn.IFS($C$6=Validation!$O$2,S13,$C$6=Validation!$O$3,AC13,$C$6=Validation!$O$4,AL13)</f>
        <v>Type of battery</v>
      </c>
      <c r="C13" s="1"/>
      <c r="D13" s="1"/>
      <c r="E13" s="44"/>
      <c r="F13" s="1"/>
      <c r="G13" s="1"/>
      <c r="H13" s="1"/>
      <c r="I13" s="1"/>
      <c r="J13" s="1"/>
      <c r="K13" s="1"/>
      <c r="L13" s="1"/>
      <c r="M13" s="1"/>
      <c r="N13" s="1"/>
      <c r="O13" s="1"/>
      <c r="P13" s="1"/>
      <c r="Q13" s="1"/>
      <c r="R13" s="1"/>
      <c r="S13" s="1" t="s">
        <v>104</v>
      </c>
      <c r="T13" s="1"/>
      <c r="U13" s="1"/>
      <c r="V13" s="57"/>
      <c r="W13" s="1"/>
      <c r="X13" s="1"/>
      <c r="Y13" s="1"/>
      <c r="Z13" s="1"/>
      <c r="AA13" s="1"/>
      <c r="AB13" s="1"/>
      <c r="AC13" s="1" t="s">
        <v>105</v>
      </c>
      <c r="AD13" s="1"/>
      <c r="AE13" s="1"/>
      <c r="AF13" s="57"/>
      <c r="AG13" s="1"/>
      <c r="AH13" s="1"/>
      <c r="AI13" s="1"/>
      <c r="AL13" s="49" t="s">
        <v>230</v>
      </c>
      <c r="AM13" s="49"/>
      <c r="AN13" s="49"/>
      <c r="AO13" s="58"/>
      <c r="AP13" s="49"/>
      <c r="AQ13" s="49"/>
      <c r="AR13" s="49"/>
      <c r="AS13" s="61"/>
    </row>
    <row r="14" spans="1:45" ht="15.75" customHeight="1" x14ac:dyDescent="0.2">
      <c r="A14" s="1"/>
      <c r="B14" s="1" t="str" cm="1">
        <f t="array" ref="B14">_xlfn.IFS($C$6=Validation!$O$2,S14,$C$6=Validation!$O$3,AC14,$C$6=Validation!$O$4,AL14)</f>
        <v>Number of amps the motor draws</v>
      </c>
      <c r="C14" s="1"/>
      <c r="D14" s="1"/>
      <c r="E14" s="44"/>
      <c r="F14" s="1"/>
      <c r="G14" s="1"/>
      <c r="H14" s="1"/>
      <c r="I14" s="1"/>
      <c r="J14" s="1"/>
      <c r="K14" s="1"/>
      <c r="L14" s="1"/>
      <c r="M14" s="1"/>
      <c r="N14" s="1"/>
      <c r="O14" s="1"/>
      <c r="P14" s="1"/>
      <c r="Q14" s="1"/>
      <c r="R14" s="1"/>
      <c r="S14" s="1" t="s">
        <v>43</v>
      </c>
      <c r="T14" s="1"/>
      <c r="U14" s="1"/>
      <c r="V14" s="57"/>
      <c r="W14" s="1"/>
      <c r="X14" s="1"/>
      <c r="Y14" s="1"/>
      <c r="Z14" s="1"/>
      <c r="AA14" s="1"/>
      <c r="AB14" s="1"/>
      <c r="AC14" s="1" t="s">
        <v>45</v>
      </c>
      <c r="AD14" s="1"/>
      <c r="AE14" s="1"/>
      <c r="AF14" s="57"/>
      <c r="AG14" s="1"/>
      <c r="AH14" s="1"/>
      <c r="AI14" s="1"/>
      <c r="AL14" s="49" t="s">
        <v>231</v>
      </c>
      <c r="AM14" s="49"/>
      <c r="AN14" s="49"/>
      <c r="AO14" s="58"/>
      <c r="AP14" s="49"/>
      <c r="AQ14" s="49"/>
      <c r="AR14" s="49"/>
      <c r="AS14" s="61"/>
    </row>
    <row r="15" spans="1:45" ht="15.75" customHeight="1" x14ac:dyDescent="0.2">
      <c r="A15" s="1"/>
      <c r="B15" s="1" t="str" cm="1">
        <f t="array" ref="B15">_xlfn.IFS($C$6=Validation!$O$2,S15,$C$6=Validation!$O$3,AC15,$C$6=Validation!$O$4,AL15)</f>
        <v>Peukert exponent</v>
      </c>
      <c r="C15" s="1"/>
      <c r="D15" s="1"/>
      <c r="E15" s="17" t="str" cm="1">
        <f t="array" ref="E15">IFERROR(_xlfn.IFS(E13=P3,Q3,E13=P4,Q4,E13=P5,Q5,E13=P6,Q6,E13=P7,Q7),"")</f>
        <v/>
      </c>
      <c r="F15" s="1"/>
      <c r="G15" s="1"/>
      <c r="H15" s="1"/>
      <c r="I15" s="1"/>
      <c r="J15" s="1"/>
      <c r="K15" s="1"/>
      <c r="L15" s="1"/>
      <c r="M15" s="1"/>
      <c r="N15" s="1"/>
      <c r="O15" s="1"/>
      <c r="P15" s="1"/>
      <c r="Q15" s="1"/>
      <c r="R15" s="1"/>
      <c r="S15" s="1" t="s">
        <v>106</v>
      </c>
      <c r="T15" s="1"/>
      <c r="U15" s="1"/>
      <c r="V15" s="59"/>
      <c r="W15" s="1"/>
      <c r="X15" s="1"/>
      <c r="Y15" s="1"/>
      <c r="Z15" s="1"/>
      <c r="AA15" s="1"/>
      <c r="AB15" s="1"/>
      <c r="AC15" s="1" t="s">
        <v>106</v>
      </c>
      <c r="AD15" s="1"/>
      <c r="AE15" s="1"/>
      <c r="AF15" s="59"/>
      <c r="AG15" s="1"/>
      <c r="AH15" s="1"/>
      <c r="AI15" s="1"/>
      <c r="AL15" s="49" t="s">
        <v>232</v>
      </c>
      <c r="AM15" s="49"/>
      <c r="AN15" s="49"/>
      <c r="AO15" s="58"/>
      <c r="AP15" s="49"/>
      <c r="AQ15" s="49"/>
      <c r="AR15" s="49"/>
      <c r="AS15" s="61"/>
    </row>
    <row r="16" spans="1:45" ht="15.75" customHeight="1" x14ac:dyDescent="0.2">
      <c r="A16" s="1"/>
      <c r="B16" s="1" t="str" cm="1">
        <f t="array" ref="B16">_xlfn.IFS($C$6=Validation!$O$2,S16,$C$6=Validation!$O$3,AC16,$C$6=Validation!$O$4,AL16)</f>
        <v>Maximum discharge of the battery</v>
      </c>
      <c r="C16" s="1"/>
      <c r="D16" s="1"/>
      <c r="E16" s="19" t="str" cm="1">
        <f t="array" ref="E16">IFERROR(_xlfn.IFS(E13=P3,R3,E13=P4,R4,E13=P5,R5,E13=P6,R6,E13=P7,R7),"")</f>
        <v/>
      </c>
      <c r="F16" s="1"/>
      <c r="G16" s="1"/>
      <c r="H16" s="1"/>
      <c r="I16" s="1"/>
      <c r="J16" s="1"/>
      <c r="K16" s="1"/>
      <c r="L16" s="1"/>
      <c r="M16" s="1"/>
      <c r="N16" s="1"/>
      <c r="O16" s="1"/>
      <c r="P16" s="1"/>
      <c r="Q16" s="1"/>
      <c r="R16" s="1"/>
      <c r="S16" s="1" t="s">
        <v>107</v>
      </c>
      <c r="T16" s="1"/>
      <c r="U16" s="1"/>
      <c r="V16" s="64"/>
      <c r="W16" s="1"/>
      <c r="X16" s="1"/>
      <c r="Y16" s="1"/>
      <c r="Z16" s="1"/>
      <c r="AA16" s="1"/>
      <c r="AB16" s="1"/>
      <c r="AC16" s="1" t="s">
        <v>108</v>
      </c>
      <c r="AD16" s="1"/>
      <c r="AE16" s="1"/>
      <c r="AF16" s="64"/>
      <c r="AG16" s="1"/>
      <c r="AH16" s="1"/>
      <c r="AI16" s="1"/>
      <c r="AL16" s="49" t="s">
        <v>233</v>
      </c>
      <c r="AM16" s="49"/>
      <c r="AN16" s="49"/>
      <c r="AO16" s="65"/>
      <c r="AP16" s="49"/>
      <c r="AQ16" s="49"/>
      <c r="AR16" s="49"/>
      <c r="AS16" s="61"/>
    </row>
    <row r="17" spans="1:45" ht="15.75" customHeight="1" x14ac:dyDescent="0.2">
      <c r="A17" s="1"/>
      <c r="B17" s="1" t="str" cm="1">
        <f t="array" ref="B17">_xlfn.IFS($C$6=Validation!$O$2,S17,$C$6=Validation!$O$3,AC17,$C$6=Validation!$O$4,AL17)</f>
        <v>Cruising time</v>
      </c>
      <c r="C17" s="1"/>
      <c r="D17" s="1"/>
      <c r="E17" s="20" t="str">
        <f>IFERROR(20*(E12/(E14*20))^E15*E16,"")</f>
        <v/>
      </c>
      <c r="F17" s="1"/>
      <c r="G17" s="1"/>
      <c r="H17" s="1"/>
      <c r="I17" s="1"/>
      <c r="J17" s="1"/>
      <c r="K17" s="1"/>
      <c r="L17" s="1"/>
      <c r="M17" s="1"/>
      <c r="N17" s="1"/>
      <c r="O17" s="1"/>
      <c r="P17" s="1"/>
      <c r="Q17" s="1"/>
      <c r="R17" s="1"/>
      <c r="S17" s="1" t="s">
        <v>109</v>
      </c>
      <c r="T17" s="1"/>
      <c r="U17" s="1"/>
      <c r="V17" s="66"/>
      <c r="W17" s="1"/>
      <c r="X17" s="1"/>
      <c r="Y17" s="1"/>
      <c r="Z17" s="1"/>
      <c r="AA17" s="1"/>
      <c r="AB17" s="1"/>
      <c r="AC17" s="1" t="s">
        <v>110</v>
      </c>
      <c r="AD17" s="1"/>
      <c r="AE17" s="1"/>
      <c r="AF17" s="66"/>
      <c r="AG17" s="1"/>
      <c r="AH17" s="1"/>
      <c r="AI17" s="1"/>
      <c r="AL17" s="49" t="s">
        <v>234</v>
      </c>
      <c r="AM17" s="49"/>
      <c r="AN17" s="49"/>
      <c r="AO17" s="67"/>
      <c r="AP17" s="49"/>
      <c r="AQ17" s="49"/>
      <c r="AR17" s="49"/>
      <c r="AS17" s="61"/>
    </row>
    <row r="18" spans="1:45" ht="15.75" customHeight="1" x14ac:dyDescent="0.2">
      <c r="A18" s="1"/>
      <c r="B18" s="1" t="str" cm="1">
        <f t="array" ref="B18">_xlfn.IFS($C$6=Validation!$O$2,S18,$C$6=Validation!$O$3,AC18,$C$6=Validation!$O$4,AL18)</f>
        <v>Usable Ah in 20 hours (C20)</v>
      </c>
      <c r="C18" s="1"/>
      <c r="D18" s="1"/>
      <c r="E18" s="21" t="str">
        <f>IFERROR(20*($E$12/20)*(20^(1/$E$15)/20^(1/$E$15))*E16,"")</f>
        <v/>
      </c>
      <c r="F18" s="1"/>
      <c r="G18" s="1"/>
      <c r="H18" s="1"/>
      <c r="I18" s="1"/>
      <c r="J18" s="1"/>
      <c r="K18" s="1"/>
      <c r="L18" s="1"/>
      <c r="M18" s="1"/>
      <c r="N18" s="1"/>
      <c r="O18" s="1"/>
      <c r="P18" s="1"/>
      <c r="Q18" s="1"/>
      <c r="R18" s="1"/>
      <c r="S18" s="1" t="s">
        <v>111</v>
      </c>
      <c r="T18" s="1"/>
      <c r="U18" s="1"/>
      <c r="V18" s="68"/>
      <c r="W18" s="1"/>
      <c r="X18" s="1"/>
      <c r="Y18" s="1"/>
      <c r="Z18" s="1"/>
      <c r="AA18" s="1"/>
      <c r="AB18" s="1"/>
      <c r="AC18" s="1" t="s">
        <v>112</v>
      </c>
      <c r="AD18" s="1"/>
      <c r="AE18" s="1"/>
      <c r="AF18" s="68"/>
      <c r="AG18" s="1"/>
      <c r="AH18" s="1"/>
      <c r="AI18" s="1"/>
      <c r="AL18" s="49" t="s">
        <v>228</v>
      </c>
      <c r="AM18" s="49"/>
      <c r="AN18" s="49"/>
      <c r="AO18" s="69"/>
      <c r="AP18" s="49"/>
      <c r="AQ18" s="49"/>
      <c r="AR18" s="49"/>
      <c r="AS18" s="61"/>
    </row>
    <row r="19" spans="1:45" ht="15.75" customHeight="1" x14ac:dyDescent="0.2">
      <c r="A19" s="1"/>
      <c r="B19" s="1" t="str" cm="1">
        <f t="array" ref="B19">_xlfn.IFS($C$6=Validation!$O$2,S19,$C$6=Validation!$O$3,AC19,$C$6=Validation!$O$4,AL19)</f>
        <v>Usable Ah in 5 hours (C5)</v>
      </c>
      <c r="C19" s="1"/>
      <c r="D19" s="1"/>
      <c r="E19" s="21" t="str">
        <f>IFERROR(5*($E$12/20)*(20^(1/$E$15)/5^(1/$E$15))*E16,"")</f>
        <v/>
      </c>
      <c r="F19" s="1"/>
      <c r="G19" s="1"/>
      <c r="H19" s="1"/>
      <c r="I19" s="1"/>
      <c r="J19" s="1"/>
      <c r="K19" s="1"/>
      <c r="L19" s="1"/>
      <c r="M19" s="1"/>
      <c r="N19" s="1"/>
      <c r="O19" s="1"/>
      <c r="P19" s="1"/>
      <c r="Q19" s="1"/>
      <c r="R19" s="1"/>
      <c r="S19" s="1" t="s">
        <v>113</v>
      </c>
      <c r="T19" s="1"/>
      <c r="U19" s="1"/>
      <c r="V19" s="68"/>
      <c r="W19" s="1"/>
      <c r="X19" s="1"/>
      <c r="Y19" s="1"/>
      <c r="Z19" s="1"/>
      <c r="AA19" s="1"/>
      <c r="AB19" s="1"/>
      <c r="AC19" s="1" t="s">
        <v>114</v>
      </c>
      <c r="AD19" s="1"/>
      <c r="AE19" s="1"/>
      <c r="AF19" s="68"/>
      <c r="AG19" s="1"/>
      <c r="AH19" s="1"/>
      <c r="AI19" s="1"/>
      <c r="AL19" s="49" t="s">
        <v>235</v>
      </c>
      <c r="AM19" s="49"/>
      <c r="AN19" s="49"/>
      <c r="AO19" s="69"/>
      <c r="AP19" s="49"/>
      <c r="AQ19" s="49"/>
      <c r="AR19" s="49"/>
      <c r="AS19" s="61"/>
    </row>
    <row r="20" spans="1:45" ht="15.75" customHeight="1" x14ac:dyDescent="0.2">
      <c r="A20" s="1"/>
      <c r="B20" s="1" t="str" cm="1">
        <f t="array" ref="B20">_xlfn.IFS($C$6=Validation!$O$2,S20,$C$6=Validation!$O$3,AC20,$C$6=Validation!$O$4,AL20)</f>
        <v>Usable Ah in 3 hours (C3)</v>
      </c>
      <c r="C20" s="1"/>
      <c r="D20" s="1"/>
      <c r="E20" s="21" t="str">
        <f>IFERROR(3*($E$12/20)*(20^(1/$E$15)/3^(1/$E$15))*E16,"")</f>
        <v/>
      </c>
      <c r="F20" s="1"/>
      <c r="G20" s="1"/>
      <c r="H20" s="1"/>
      <c r="I20" s="1"/>
      <c r="J20" s="1"/>
      <c r="K20" s="1"/>
      <c r="L20" s="1"/>
      <c r="M20" s="1"/>
      <c r="N20" s="1"/>
      <c r="O20" s="1"/>
      <c r="P20" s="1"/>
      <c r="Q20" s="1"/>
      <c r="R20" s="1"/>
      <c r="S20" s="1" t="s">
        <v>115</v>
      </c>
      <c r="T20" s="1"/>
      <c r="U20" s="1"/>
      <c r="V20" s="68"/>
      <c r="W20" s="1"/>
      <c r="X20" s="1"/>
      <c r="Y20" s="1"/>
      <c r="Z20" s="1"/>
      <c r="AA20" s="1"/>
      <c r="AB20" s="1"/>
      <c r="AC20" s="1" t="s">
        <v>116</v>
      </c>
      <c r="AD20" s="1"/>
      <c r="AE20" s="1"/>
      <c r="AF20" s="68"/>
      <c r="AG20" s="1"/>
      <c r="AH20" s="1"/>
      <c r="AI20" s="1"/>
      <c r="AL20" s="49" t="s">
        <v>236</v>
      </c>
      <c r="AM20" s="49"/>
      <c r="AN20" s="49"/>
      <c r="AO20" s="69"/>
      <c r="AP20" s="49"/>
      <c r="AQ20" s="49"/>
      <c r="AR20" s="49"/>
      <c r="AS20" s="61"/>
    </row>
    <row r="21" spans="1:45" ht="15.7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L21" s="49"/>
      <c r="AM21" s="49"/>
      <c r="AN21" s="49"/>
      <c r="AO21" s="49"/>
      <c r="AP21" s="49"/>
      <c r="AQ21" s="49"/>
      <c r="AR21" s="49"/>
      <c r="AS21" s="61"/>
    </row>
    <row r="22" spans="1:45" ht="15.75" customHeight="1" x14ac:dyDescent="0.2">
      <c r="A22" s="1"/>
      <c r="B22" s="4" t="str" cm="1">
        <f t="array" ref="B22">_xlfn.IFS($C$6=Validation!$O$2,S22,$C$6=Validation!$O$3,AC22,$C$6=Validation!$O$4,AL22)</f>
        <v>Usable battery capacity if you do know the peukert exponent and the maximum discharge of the battery</v>
      </c>
      <c r="C22" s="1"/>
      <c r="D22" s="1"/>
      <c r="E22" s="1"/>
      <c r="F22" s="1"/>
      <c r="G22" s="1"/>
      <c r="H22" s="1"/>
      <c r="I22" s="1"/>
      <c r="J22" s="1"/>
      <c r="K22" s="1"/>
      <c r="L22" s="1"/>
      <c r="M22" s="1"/>
      <c r="N22" s="1"/>
      <c r="O22" s="1"/>
      <c r="P22" s="1"/>
      <c r="Q22" s="1"/>
      <c r="R22" s="1"/>
      <c r="S22" s="4" t="s">
        <v>117</v>
      </c>
      <c r="T22" s="1"/>
      <c r="U22" s="1"/>
      <c r="V22" s="1"/>
      <c r="W22" s="1"/>
      <c r="X22" s="1"/>
      <c r="Y22" s="1"/>
      <c r="Z22" s="1"/>
      <c r="AA22" s="1"/>
      <c r="AB22" s="1"/>
      <c r="AC22" s="4" t="s">
        <v>118</v>
      </c>
      <c r="AD22" s="1"/>
      <c r="AE22" s="1"/>
      <c r="AF22" s="1"/>
      <c r="AG22" s="1"/>
      <c r="AH22" s="1"/>
      <c r="AI22" s="1"/>
      <c r="AL22" s="54" t="s">
        <v>227</v>
      </c>
      <c r="AM22" s="49"/>
      <c r="AN22" s="49"/>
      <c r="AO22" s="49"/>
      <c r="AP22" s="49"/>
      <c r="AQ22" s="49"/>
      <c r="AR22" s="49"/>
      <c r="AS22" s="61"/>
    </row>
    <row r="23" spans="1:45" ht="15.75" customHeight="1" x14ac:dyDescent="0.2">
      <c r="A23" s="1"/>
      <c r="B23" s="1" t="str" cm="1">
        <f t="array" ref="B23">_xlfn.IFS($C$6=Validation!$O$2,S23,$C$6=Validation!$O$3,AC23,$C$6=Validation!$O$4,AL23)</f>
        <v>Given number of Ah (C20)</v>
      </c>
      <c r="C23" s="1"/>
      <c r="D23" s="1"/>
      <c r="E23" s="45"/>
      <c r="F23" s="1"/>
      <c r="G23" s="1"/>
      <c r="H23" s="1"/>
      <c r="I23" s="1"/>
      <c r="J23" s="1"/>
      <c r="K23" s="1"/>
      <c r="L23" s="1"/>
      <c r="M23" s="1"/>
      <c r="N23" s="1"/>
      <c r="O23" s="1"/>
      <c r="P23" s="1"/>
      <c r="Q23" s="1"/>
      <c r="R23" s="1"/>
      <c r="S23" s="1" t="s">
        <v>102</v>
      </c>
      <c r="T23" s="1"/>
      <c r="U23" s="1"/>
      <c r="V23" s="62"/>
      <c r="W23" s="1"/>
      <c r="X23" s="1"/>
      <c r="Y23" s="1"/>
      <c r="Z23" s="1"/>
      <c r="AA23" s="1"/>
      <c r="AB23" s="1"/>
      <c r="AC23" s="1" t="s">
        <v>103</v>
      </c>
      <c r="AD23" s="1"/>
      <c r="AE23" s="1"/>
      <c r="AF23" s="62"/>
      <c r="AG23" s="1"/>
      <c r="AH23" s="1"/>
      <c r="AI23" s="1"/>
      <c r="AL23" s="49" t="s">
        <v>229</v>
      </c>
      <c r="AM23" s="49"/>
      <c r="AN23" s="49"/>
      <c r="AO23" s="63"/>
      <c r="AP23" s="49"/>
      <c r="AQ23" s="49"/>
      <c r="AR23" s="49"/>
      <c r="AS23" s="61"/>
    </row>
    <row r="24" spans="1:45" ht="15.75" customHeight="1" x14ac:dyDescent="0.2">
      <c r="A24" s="1"/>
      <c r="B24" s="1" t="str" cm="1">
        <f t="array" ref="B24">_xlfn.IFS($C$6=Validation!$O$2,S24,$C$6=Validation!$O$3,AC24,$C$6=Validation!$O$4,AL24)</f>
        <v>Peukert exponent</v>
      </c>
      <c r="C24" s="1"/>
      <c r="D24" s="1"/>
      <c r="E24" s="44"/>
      <c r="F24" s="1"/>
      <c r="G24" s="1"/>
      <c r="H24" s="1"/>
      <c r="I24" s="1"/>
      <c r="J24" s="1"/>
      <c r="K24" s="1"/>
      <c r="L24" s="1"/>
      <c r="M24" s="1"/>
      <c r="N24" s="1"/>
      <c r="O24" s="1"/>
      <c r="P24" s="1"/>
      <c r="Q24" s="1"/>
      <c r="R24" s="1"/>
      <c r="S24" s="1" t="s">
        <v>106</v>
      </c>
      <c r="T24" s="1"/>
      <c r="U24" s="1"/>
      <c r="V24" s="57"/>
      <c r="W24" s="1"/>
      <c r="X24" s="1"/>
      <c r="Y24" s="1"/>
      <c r="Z24" s="1"/>
      <c r="AA24" s="1"/>
      <c r="AB24" s="1"/>
      <c r="AC24" s="1" t="s">
        <v>106</v>
      </c>
      <c r="AD24" s="1"/>
      <c r="AE24" s="1"/>
      <c r="AF24" s="57"/>
      <c r="AG24" s="1"/>
      <c r="AH24" s="1"/>
      <c r="AI24" s="1"/>
      <c r="AL24" s="49" t="s">
        <v>232</v>
      </c>
      <c r="AM24" s="49"/>
      <c r="AN24" s="49"/>
      <c r="AO24" s="58"/>
      <c r="AP24" s="49"/>
      <c r="AQ24" s="49"/>
      <c r="AR24" s="49"/>
      <c r="AS24" s="61"/>
    </row>
    <row r="25" spans="1:45" ht="15.75" customHeight="1" x14ac:dyDescent="0.2">
      <c r="A25" s="1"/>
      <c r="B25" s="1" t="str" cm="1">
        <f t="array" ref="B25">_xlfn.IFS($C$6=Validation!$O$2,S25,$C$6=Validation!$O$3,AC25,$C$6=Validation!$O$4,AL25)</f>
        <v>Maximum discharge of the battery</v>
      </c>
      <c r="C25" s="1"/>
      <c r="D25" s="1"/>
      <c r="E25" s="46"/>
      <c r="F25" s="1"/>
      <c r="G25" s="1"/>
      <c r="H25" s="1"/>
      <c r="I25" s="1"/>
      <c r="J25" s="1"/>
      <c r="K25" s="1"/>
      <c r="L25" s="1"/>
      <c r="M25" s="1"/>
      <c r="N25" s="1"/>
      <c r="O25" s="1"/>
      <c r="P25" s="1"/>
      <c r="Q25" s="1"/>
      <c r="R25" s="1"/>
      <c r="S25" s="1" t="s">
        <v>107</v>
      </c>
      <c r="T25" s="1"/>
      <c r="U25" s="1"/>
      <c r="V25" s="70"/>
      <c r="W25" s="1"/>
      <c r="X25" s="1"/>
      <c r="Y25" s="1"/>
      <c r="Z25" s="1"/>
      <c r="AA25" s="1"/>
      <c r="AB25" s="1"/>
      <c r="AC25" s="1" t="s">
        <v>108</v>
      </c>
      <c r="AD25" s="1"/>
      <c r="AE25" s="1"/>
      <c r="AF25" s="70"/>
      <c r="AG25" s="1"/>
      <c r="AH25" s="1"/>
      <c r="AI25" s="1"/>
      <c r="AL25" s="49" t="s">
        <v>233</v>
      </c>
      <c r="AM25" s="49"/>
      <c r="AN25" s="49"/>
      <c r="AO25" s="65"/>
      <c r="AP25" s="49"/>
      <c r="AQ25" s="49"/>
      <c r="AR25" s="49"/>
      <c r="AS25" s="61"/>
    </row>
    <row r="26" spans="1:45" ht="15.75" customHeight="1" x14ac:dyDescent="0.2">
      <c r="A26" s="1"/>
      <c r="B26" s="1" t="str" cm="1">
        <f t="array" ref="B26">_xlfn.IFS($C$6=Validation!$O$2,S26,$C$6=Validation!$O$3,AC26,$C$6=Validation!$O$4,AL26)</f>
        <v>Number of amps drawn by the motor</v>
      </c>
      <c r="C26" s="1"/>
      <c r="D26" s="1"/>
      <c r="E26" s="44"/>
      <c r="F26" s="1"/>
      <c r="G26" s="1"/>
      <c r="H26" s="1"/>
      <c r="I26" s="1"/>
      <c r="J26" s="1"/>
      <c r="K26" s="1"/>
      <c r="L26" s="1"/>
      <c r="M26" s="1"/>
      <c r="N26" s="1"/>
      <c r="O26" s="1"/>
      <c r="P26" s="1"/>
      <c r="Q26" s="1"/>
      <c r="R26" s="1"/>
      <c r="S26" s="1" t="s">
        <v>43</v>
      </c>
      <c r="T26" s="1"/>
      <c r="U26" s="1"/>
      <c r="V26" s="57"/>
      <c r="W26" s="1"/>
      <c r="X26" s="1"/>
      <c r="Y26" s="1"/>
      <c r="Z26" s="1"/>
      <c r="AA26" s="1"/>
      <c r="AB26" s="1"/>
      <c r="AC26" s="1" t="s">
        <v>119</v>
      </c>
      <c r="AD26" s="1"/>
      <c r="AE26" s="1"/>
      <c r="AF26" s="57"/>
      <c r="AG26" s="1"/>
      <c r="AH26" s="1"/>
      <c r="AI26" s="1"/>
      <c r="AL26" s="49" t="s">
        <v>237</v>
      </c>
      <c r="AM26" s="49"/>
      <c r="AN26" s="49"/>
      <c r="AO26" s="58"/>
      <c r="AP26" s="49"/>
      <c r="AQ26" s="49"/>
      <c r="AR26" s="49"/>
      <c r="AS26" s="61"/>
    </row>
    <row r="27" spans="1:45" ht="15.75" customHeight="1" x14ac:dyDescent="0.2">
      <c r="A27" s="1"/>
      <c r="B27" s="1" t="str" cm="1">
        <f t="array" ref="B27">_xlfn.IFS($C$6=Validation!$O$2,S27,$C$6=Validation!$O$3,AC27,$C$6=Validation!$O$4,AL27)</f>
        <v>Cruising time</v>
      </c>
      <c r="C27" s="1"/>
      <c r="D27" s="1"/>
      <c r="E27" s="20" t="str">
        <f>IFERROR(20*(E23/(E26*20))^E24*E25,"")</f>
        <v/>
      </c>
      <c r="F27" s="1"/>
      <c r="G27" s="1"/>
      <c r="H27" s="1"/>
      <c r="I27" s="1"/>
      <c r="J27" s="1"/>
      <c r="K27" s="1"/>
      <c r="L27" s="1"/>
      <c r="M27" s="1"/>
      <c r="N27" s="1"/>
      <c r="O27" s="1"/>
      <c r="P27" s="1"/>
      <c r="Q27" s="1"/>
      <c r="R27" s="1"/>
      <c r="S27" s="1" t="s">
        <v>109</v>
      </c>
      <c r="T27" s="1"/>
      <c r="U27" s="1"/>
      <c r="V27" s="66"/>
      <c r="W27" s="1"/>
      <c r="X27" s="1"/>
      <c r="Y27" s="1"/>
      <c r="Z27" s="1"/>
      <c r="AA27" s="1"/>
      <c r="AB27" s="1"/>
      <c r="AC27" s="1" t="s">
        <v>110</v>
      </c>
      <c r="AD27" s="1"/>
      <c r="AE27" s="1"/>
      <c r="AF27" s="66"/>
      <c r="AG27" s="1"/>
      <c r="AH27" s="1"/>
      <c r="AI27" s="1"/>
      <c r="AL27" s="49" t="s">
        <v>234</v>
      </c>
      <c r="AM27" s="49"/>
      <c r="AN27" s="49"/>
      <c r="AO27" s="67"/>
      <c r="AP27" s="49"/>
      <c r="AQ27" s="49"/>
      <c r="AR27" s="49"/>
      <c r="AS27" s="61"/>
    </row>
    <row r="28" spans="1:45" ht="15.75" customHeight="1" x14ac:dyDescent="0.2">
      <c r="A28" s="1"/>
      <c r="B28" s="1" t="str" cm="1">
        <f t="array" ref="B28">_xlfn.IFS($C$6=Validation!$O$2,S28,$C$6=Validation!$O$3,AC28,$C$6=Validation!$O$4,AL28)</f>
        <v>Usable number of Ah in 20 hours (C20)</v>
      </c>
      <c r="C28" s="1"/>
      <c r="D28" s="1"/>
      <c r="E28" s="21" t="str">
        <f>IFERROR(20*($E$23/20)*(20^(1/$E$24)/20^(1/$E$24))*E25,"")</f>
        <v/>
      </c>
      <c r="F28" s="1"/>
      <c r="G28" s="1"/>
      <c r="H28" s="1"/>
      <c r="I28" s="1"/>
      <c r="J28" s="1"/>
      <c r="K28" s="1"/>
      <c r="L28" s="1"/>
      <c r="M28" s="1"/>
      <c r="N28" s="1"/>
      <c r="O28" s="1"/>
      <c r="P28" s="1"/>
      <c r="Q28" s="1"/>
      <c r="R28" s="1"/>
      <c r="S28" s="1" t="s">
        <v>111</v>
      </c>
      <c r="T28" s="1"/>
      <c r="U28" s="1"/>
      <c r="V28" s="68"/>
      <c r="W28" s="1"/>
      <c r="X28" s="1"/>
      <c r="Y28" s="1"/>
      <c r="Z28" s="1"/>
      <c r="AA28" s="1"/>
      <c r="AB28" s="1"/>
      <c r="AC28" s="1" t="s">
        <v>120</v>
      </c>
      <c r="AD28" s="1"/>
      <c r="AE28" s="1"/>
      <c r="AF28" s="68"/>
      <c r="AG28" s="1"/>
      <c r="AH28" s="1"/>
      <c r="AI28" s="1"/>
      <c r="AL28" s="49" t="s">
        <v>238</v>
      </c>
      <c r="AM28" s="49"/>
      <c r="AN28" s="49"/>
      <c r="AO28" s="69"/>
      <c r="AP28" s="49"/>
      <c r="AQ28" s="49"/>
      <c r="AR28" s="49"/>
      <c r="AS28" s="61"/>
    </row>
    <row r="29" spans="1:45" ht="15.75" customHeight="1" x14ac:dyDescent="0.2">
      <c r="A29" s="1"/>
      <c r="B29" s="1" t="str" cm="1">
        <f t="array" ref="B29">_xlfn.IFS($C$6=Validation!$O$2,S29,$C$6=Validation!$O$3,AC29,$C$6=Validation!$O$4,AL29)</f>
        <v>Usable Ah in 5 hours (C5)</v>
      </c>
      <c r="C29" s="1"/>
      <c r="D29" s="1"/>
      <c r="E29" s="21" t="str">
        <f>IFERROR(5*($E$23/20)*(20^(1/$E$24)/5^(1/$E$24))*E25,"")</f>
        <v/>
      </c>
      <c r="F29" s="1"/>
      <c r="G29" s="1"/>
      <c r="H29" s="1"/>
      <c r="I29" s="1"/>
      <c r="J29" s="1"/>
      <c r="K29" s="1"/>
      <c r="L29" s="1"/>
      <c r="M29" s="1"/>
      <c r="N29" s="1"/>
      <c r="O29" s="1"/>
      <c r="P29" s="1"/>
      <c r="Q29" s="1"/>
      <c r="R29" s="1"/>
      <c r="S29" s="1" t="s">
        <v>113</v>
      </c>
      <c r="T29" s="1"/>
      <c r="U29" s="1"/>
      <c r="V29" s="68"/>
      <c r="W29" s="1"/>
      <c r="X29" s="1"/>
      <c r="Y29" s="1"/>
      <c r="Z29" s="1"/>
      <c r="AA29" s="1"/>
      <c r="AB29" s="1"/>
      <c r="AC29" s="1" t="s">
        <v>114</v>
      </c>
      <c r="AD29" s="1"/>
      <c r="AE29" s="1"/>
      <c r="AF29" s="68"/>
      <c r="AG29" s="1"/>
      <c r="AH29" s="1"/>
      <c r="AI29" s="1"/>
      <c r="AL29" s="49" t="s">
        <v>235</v>
      </c>
      <c r="AM29" s="49"/>
      <c r="AN29" s="49"/>
      <c r="AO29" s="69"/>
      <c r="AP29" s="49"/>
      <c r="AQ29" s="49"/>
      <c r="AR29" s="49"/>
      <c r="AS29" s="61"/>
    </row>
    <row r="30" spans="1:45" ht="15.75" customHeight="1" x14ac:dyDescent="0.2">
      <c r="A30" s="1"/>
      <c r="B30" s="1" t="str" cm="1">
        <f t="array" ref="B30">_xlfn.IFS($C$6=Validation!$O$2,S30,$C$6=Validation!$O$3,AC30,$C$6=Validation!$O$4,AL30)</f>
        <v>Usable Ah in 3 hours (C3)</v>
      </c>
      <c r="C30" s="1"/>
      <c r="D30" s="1"/>
      <c r="E30" s="21" t="str">
        <f>IFERROR(3*($E$23/20)*(20^(1/$E$24)/3^(1/$E$24))*E25,"")</f>
        <v/>
      </c>
      <c r="F30" s="1"/>
      <c r="G30" s="1"/>
      <c r="H30" s="1"/>
      <c r="I30" s="1"/>
      <c r="J30" s="1"/>
      <c r="K30" s="1"/>
      <c r="L30" s="1"/>
      <c r="M30" s="1"/>
      <c r="N30" s="1"/>
      <c r="O30" s="1"/>
      <c r="P30" s="1"/>
      <c r="Q30" s="1"/>
      <c r="R30" s="1"/>
      <c r="S30" s="1" t="s">
        <v>115</v>
      </c>
      <c r="T30" s="1"/>
      <c r="U30" s="1"/>
      <c r="V30" s="68"/>
      <c r="W30" s="1"/>
      <c r="X30" s="1"/>
      <c r="Y30" s="1"/>
      <c r="Z30" s="1"/>
      <c r="AA30" s="1"/>
      <c r="AB30" s="1"/>
      <c r="AC30" s="1" t="s">
        <v>116</v>
      </c>
      <c r="AD30" s="1"/>
      <c r="AE30" s="1"/>
      <c r="AF30" s="68"/>
      <c r="AG30" s="1"/>
      <c r="AH30" s="1"/>
      <c r="AI30" s="1"/>
      <c r="AL30" s="49" t="s">
        <v>236</v>
      </c>
      <c r="AM30" s="49"/>
      <c r="AN30" s="49"/>
      <c r="AO30" s="69"/>
      <c r="AP30" s="49"/>
      <c r="AQ30" s="49"/>
      <c r="AR30" s="49"/>
      <c r="AS30" s="61"/>
    </row>
    <row r="31" spans="1:45" ht="15.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L31" s="49"/>
      <c r="AM31" s="49"/>
      <c r="AN31" s="49"/>
      <c r="AO31" s="49"/>
      <c r="AP31" s="49"/>
      <c r="AQ31" s="49"/>
      <c r="AR31" s="49"/>
      <c r="AS31" s="61"/>
    </row>
    <row r="32" spans="1:45" ht="15.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L32" s="49"/>
      <c r="AM32" s="49"/>
      <c r="AN32" s="49"/>
      <c r="AO32" s="49"/>
      <c r="AP32" s="49"/>
      <c r="AQ32" s="49"/>
      <c r="AR32" s="49"/>
      <c r="AS32" s="61"/>
    </row>
    <row r="33" spans="1:45" ht="15.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L33" s="49"/>
      <c r="AM33" s="49"/>
      <c r="AN33" s="49"/>
      <c r="AO33" s="49"/>
      <c r="AP33" s="49"/>
      <c r="AQ33" s="49"/>
      <c r="AR33" s="49"/>
      <c r="AS33" s="61"/>
    </row>
    <row r="34" spans="1:45" ht="15.75" customHeight="1" x14ac:dyDescent="0.2">
      <c r="A34" s="1"/>
      <c r="B34" s="4" t="str" cm="1">
        <f t="array" ref="B34">_xlfn.IFS($C$6=Validation!$O$2,S34,$C$6=Validation!$O$3,AC34,$C$6=Validation!$O$4,AL34)</f>
        <v>Example 1: A Minn Kota endura Max 55 with a 12V70 Rebelcell</v>
      </c>
      <c r="C34" s="1"/>
      <c r="D34" s="1"/>
      <c r="E34" s="1"/>
      <c r="F34" s="1"/>
      <c r="G34" s="1"/>
      <c r="H34" s="1"/>
      <c r="I34" s="1"/>
      <c r="J34" s="1"/>
      <c r="K34" s="1"/>
      <c r="L34" s="1"/>
      <c r="M34" s="1"/>
      <c r="N34" s="1"/>
      <c r="O34" s="1"/>
      <c r="P34" s="1"/>
      <c r="Q34" s="1"/>
      <c r="R34" s="1"/>
      <c r="S34" s="4" t="s">
        <v>121</v>
      </c>
      <c r="T34" s="1"/>
      <c r="U34" s="1"/>
      <c r="V34" s="1"/>
      <c r="W34" s="1"/>
      <c r="X34" s="1"/>
      <c r="Y34" s="1"/>
      <c r="Z34" s="1"/>
      <c r="AA34" s="1"/>
      <c r="AB34" s="1"/>
      <c r="AC34" s="4" t="s">
        <v>122</v>
      </c>
      <c r="AD34" s="1"/>
      <c r="AE34" s="1"/>
      <c r="AF34" s="1"/>
      <c r="AG34" s="1"/>
      <c r="AH34" s="1"/>
      <c r="AI34" s="1"/>
      <c r="AL34" s="54" t="s">
        <v>251</v>
      </c>
      <c r="AM34" s="49"/>
      <c r="AN34" s="49"/>
      <c r="AO34" s="49"/>
      <c r="AP34" s="49"/>
      <c r="AQ34" s="49"/>
      <c r="AR34" s="49"/>
      <c r="AS34" s="61"/>
    </row>
    <row r="35" spans="1:45" ht="15.75" customHeight="1" x14ac:dyDescent="0.2">
      <c r="A35" s="1"/>
      <c r="B35" s="22" t="str" cm="1">
        <f t="array" ref="B35">_xlfn.IFS($C$6=Validation!$O$2,S35,$C$6=Validation!$O$3,AC35,$C$6=Validation!$O$4,AL35)</f>
        <v>Rebelcell 12V70 AV</v>
      </c>
      <c r="C35" s="23"/>
      <c r="D35" s="22" t="str" cm="1">
        <f t="array" ref="D35">_xlfn.IFS($C$6=Validation!$O$2,U35,$C$6=Validation!$O$3,AE35,$C$6=Validation!$O$4,AN35)</f>
        <v>Minn Kota endura Max 55</v>
      </c>
      <c r="E35" s="24"/>
      <c r="F35" s="24"/>
      <c r="G35" s="23"/>
      <c r="H35" s="23"/>
      <c r="I35" s="1"/>
      <c r="J35" s="1"/>
      <c r="K35" s="1"/>
      <c r="L35" s="1"/>
      <c r="M35" s="1"/>
      <c r="N35" s="1"/>
      <c r="O35" s="1"/>
      <c r="P35" s="1"/>
      <c r="Q35" s="1"/>
      <c r="R35" s="1"/>
      <c r="S35" s="22" t="s">
        <v>244</v>
      </c>
      <c r="T35" s="23"/>
      <c r="U35" s="22" t="s">
        <v>123</v>
      </c>
      <c r="V35" s="24"/>
      <c r="W35" s="24"/>
      <c r="X35" s="23"/>
      <c r="Y35" s="23"/>
      <c r="Z35" s="1"/>
      <c r="AA35" s="1"/>
      <c r="AB35" s="1"/>
      <c r="AC35" s="22" t="s">
        <v>244</v>
      </c>
      <c r="AD35" s="23"/>
      <c r="AE35" s="22" t="s">
        <v>123</v>
      </c>
      <c r="AF35" s="24"/>
      <c r="AG35" s="24"/>
      <c r="AH35" s="23"/>
      <c r="AI35" s="23"/>
      <c r="AL35" s="71" t="s">
        <v>244</v>
      </c>
      <c r="AM35" s="72"/>
      <c r="AN35" s="71" t="s">
        <v>252</v>
      </c>
      <c r="AO35" s="73"/>
      <c r="AP35" s="73"/>
      <c r="AQ35" s="72"/>
      <c r="AR35" s="72"/>
      <c r="AS35" s="61"/>
    </row>
    <row r="36" spans="1:45" ht="15.75" customHeight="1" x14ac:dyDescent="0.2">
      <c r="A36" s="1"/>
      <c r="B36" s="25" t="str" cm="1">
        <f t="array" ref="B36">_xlfn.IFS($C$6=Validation!$O$2,S36,$C$6=Validation!$O$3,AC36,$C$6=Validation!$O$4,AL36)</f>
        <v>Ah C20</v>
      </c>
      <c r="C36" s="25" cm="1">
        <f t="array" ref="C36">_xlfn.IFS($C$6=Validation!$O$2,T36,$C$6=Validation!$O$3,AD36,$C$6=Validation!$O$4,AM36)</f>
        <v>70</v>
      </c>
      <c r="D36" s="25" t="str" cm="1">
        <f t="array" ref="D36">_xlfn.IFS($C$6=Validation!$O$2,U36,$C$6=Validation!$O$3,AE36,$C$6=Validation!$O$4,AN36)</f>
        <v>% on throttle</v>
      </c>
      <c r="E36" s="25" t="str" cm="1">
        <f t="array" ref="E36">_xlfn.IFS($C$6=Validation!$O$2,V36,$C$6=Validation!$O$3,AF36,$C$6=Validation!$O$4,AO36)</f>
        <v>Measured ampere</v>
      </c>
      <c r="F36" s="26" t="str" cm="1">
        <f t="array" ref="F36">_xlfn.IFS($C$6=Validation!$O$2,W36,$C$6=Validation!$O$3,AG36,$C$6=Validation!$O$4,AP36)</f>
        <v>Power</v>
      </c>
      <c r="G36" s="25" t="str" cm="1">
        <f t="array" ref="G36">_xlfn.IFS($C$6=Validation!$O$2,X36,$C$6=Validation!$O$3,AH36,$C$6=Validation!$O$4,AQ36)</f>
        <v>Sail time in h.</v>
      </c>
      <c r="H36" s="25" t="str" cm="1">
        <f t="array" ref="H36">_xlfn.IFS($C$6=Validation!$O$2,Y36,$C$6=Validation!$O$3,AI36,$C$6=Validation!$O$4,AR36)</f>
        <v>Usable battery capacity</v>
      </c>
      <c r="I36" s="1"/>
      <c r="J36" s="1"/>
      <c r="K36" s="1"/>
      <c r="L36" s="1"/>
      <c r="M36" s="1"/>
      <c r="N36" s="1"/>
      <c r="O36" s="1"/>
      <c r="P36" s="1"/>
      <c r="Q36" s="1"/>
      <c r="R36" s="1"/>
      <c r="S36" s="25" t="s">
        <v>124</v>
      </c>
      <c r="T36" s="25">
        <v>70</v>
      </c>
      <c r="U36" s="25" t="s">
        <v>125</v>
      </c>
      <c r="V36" s="25" t="s">
        <v>126</v>
      </c>
      <c r="W36" s="26" t="s">
        <v>127</v>
      </c>
      <c r="X36" s="25" t="s">
        <v>128</v>
      </c>
      <c r="Y36" s="25" t="s">
        <v>129</v>
      </c>
      <c r="Z36" s="1"/>
      <c r="AA36" s="1"/>
      <c r="AB36" s="1"/>
      <c r="AC36" s="25" t="s">
        <v>130</v>
      </c>
      <c r="AD36" s="25">
        <v>70</v>
      </c>
      <c r="AE36" s="25" t="s">
        <v>131</v>
      </c>
      <c r="AF36" s="25" t="s">
        <v>132</v>
      </c>
      <c r="AG36" s="26" t="s">
        <v>133</v>
      </c>
      <c r="AH36" s="25" t="s">
        <v>134</v>
      </c>
      <c r="AI36" s="25" t="s">
        <v>135</v>
      </c>
      <c r="AL36" s="58" t="s">
        <v>239</v>
      </c>
      <c r="AM36" s="58">
        <v>70</v>
      </c>
      <c r="AN36" s="58" t="s">
        <v>253</v>
      </c>
      <c r="AO36" s="58" t="s">
        <v>240</v>
      </c>
      <c r="AP36" s="52" t="s">
        <v>241</v>
      </c>
      <c r="AQ36" s="58" t="s">
        <v>242</v>
      </c>
      <c r="AR36" s="58" t="s">
        <v>243</v>
      </c>
      <c r="AS36" s="61"/>
    </row>
    <row r="37" spans="1:45" ht="15.75" customHeight="1" x14ac:dyDescent="0.2">
      <c r="A37" s="1"/>
      <c r="B37" s="25" t="str" cm="1">
        <f t="array" ref="B37">_xlfn.IFS($C$6=Validation!$O$2,S37,$C$6=Validation!$O$3,AC37,$C$6=Validation!$O$4,AL37)</f>
        <v>Peukert exponent</v>
      </c>
      <c r="C37" s="25" cm="1">
        <f t="array" ref="C37">_xlfn.IFS($C$6=Validation!$O$2,T37,$C$6=Validation!$O$3,AD37,$C$6=Validation!$O$4,AM37)</f>
        <v>1</v>
      </c>
      <c r="D37" s="27" cm="1">
        <f t="array" ref="D37">_xlfn.IFS($C$6=Validation!$O$2,U37,$C$6=Validation!$O$3,AE37,$C$6=Validation!$O$4,AN37)</f>
        <v>0.1</v>
      </c>
      <c r="E37" s="28" cm="1">
        <f t="array" ref="E37">_xlfn.IFS($C$6=Validation!$O$2,V37,$C$6=Validation!$O$3,AF37,$C$6=Validation!$O$4,AO37)</f>
        <v>1</v>
      </c>
      <c r="F37" s="29" cm="1">
        <f t="array" ref="F37">_xlfn.IFS($C$6=Validation!$O$2,W37,$C$6=Validation!$O$3,AG37,$C$6=Validation!$O$4,AP37)</f>
        <v>12</v>
      </c>
      <c r="G37" s="30" cm="1">
        <f t="array" ref="G37">_xlfn.IFS($C$6=Validation!$O$2,X37,$C$6=Validation!$O$3,AH37,$C$6=Validation!$O$4,AQ37)</f>
        <v>70</v>
      </c>
      <c r="H37" s="31" cm="1">
        <f t="array" ref="H37">_xlfn.IFS($C$6=Validation!$O$2,Y37,$C$6=Validation!$O$3,AI37,$C$6=Validation!$O$4,AR37)</f>
        <v>70</v>
      </c>
      <c r="I37" s="1"/>
      <c r="J37" s="1"/>
      <c r="K37" s="1"/>
      <c r="L37" s="1"/>
      <c r="M37" s="1"/>
      <c r="N37" s="1"/>
      <c r="O37" s="1"/>
      <c r="P37" s="1"/>
      <c r="Q37" s="1"/>
      <c r="R37" s="1"/>
      <c r="S37" s="25" t="s">
        <v>106</v>
      </c>
      <c r="T37" s="25">
        <v>1</v>
      </c>
      <c r="U37" s="27">
        <v>0.1</v>
      </c>
      <c r="V37" s="28">
        <v>1</v>
      </c>
      <c r="W37" s="29">
        <f t="shared" ref="W37:W46" si="0">V37*12</f>
        <v>12</v>
      </c>
      <c r="X37" s="30">
        <f t="shared" ref="X37:X46" si="1">20*($C$36/(V37*20))^$C$37*$C$38</f>
        <v>70</v>
      </c>
      <c r="Y37" s="31">
        <f t="shared" ref="Y37:Y46" si="2">X37*V37</f>
        <v>70</v>
      </c>
      <c r="Z37" s="1"/>
      <c r="AA37" s="1"/>
      <c r="AB37" s="1"/>
      <c r="AC37" s="25" t="s">
        <v>106</v>
      </c>
      <c r="AD37" s="25">
        <v>1</v>
      </c>
      <c r="AE37" s="27">
        <v>0.1</v>
      </c>
      <c r="AF37" s="28">
        <v>1</v>
      </c>
      <c r="AG37" s="29">
        <f t="shared" ref="AG37:AG46" si="3">AF37*12</f>
        <v>12</v>
      </c>
      <c r="AH37" s="30">
        <f t="shared" ref="AH37:AH46" si="4">20*($C$36/(AF37*20))^$C$37*$C$38</f>
        <v>70</v>
      </c>
      <c r="AI37" s="31">
        <f t="shared" ref="AI37:AI46" si="5">AH37*AF37</f>
        <v>70</v>
      </c>
      <c r="AL37" s="58" t="s">
        <v>232</v>
      </c>
      <c r="AM37" s="58">
        <v>1</v>
      </c>
      <c r="AN37" s="65">
        <v>0.1</v>
      </c>
      <c r="AO37" s="74">
        <v>1</v>
      </c>
      <c r="AP37" s="75">
        <f t="shared" ref="AP37:AP46" si="6">AO37*12</f>
        <v>12</v>
      </c>
      <c r="AQ37" s="76">
        <f t="shared" ref="AQ37:AQ46" si="7">20*($C$36/(AO37*20))^$C$37*$C$38</f>
        <v>70</v>
      </c>
      <c r="AR37" s="69">
        <f t="shared" ref="AR37:AR46" si="8">AQ37*AO37</f>
        <v>70</v>
      </c>
      <c r="AS37" s="61"/>
    </row>
    <row r="38" spans="1:45" ht="15.75" customHeight="1" x14ac:dyDescent="0.2">
      <c r="A38" s="1"/>
      <c r="B38" s="25" t="str" cm="1">
        <f t="array" ref="B38">_xlfn.IFS($C$6=Validation!$O$2,S38,$C$6=Validation!$O$3,AC38,$C$6=Validation!$O$4,AL38)</f>
        <v>Maximum discharge of the battery</v>
      </c>
      <c r="C38" s="32" cm="1">
        <f t="array" ref="C38">_xlfn.IFS($C$6=Validation!$O$2,T38,$C$6=Validation!$O$3,AD38,$C$6=Validation!$O$4,AM38)</f>
        <v>1</v>
      </c>
      <c r="D38" s="27" cm="1">
        <f t="array" ref="D38">_xlfn.IFS($C$6=Validation!$O$2,U38,$C$6=Validation!$O$3,AE38,$C$6=Validation!$O$4,AN38)</f>
        <v>0.2</v>
      </c>
      <c r="E38" s="28" cm="1">
        <f t="array" ref="E38">_xlfn.IFS($C$6=Validation!$O$2,V38,$C$6=Validation!$O$3,AF38,$C$6=Validation!$O$4,AO38)</f>
        <v>2</v>
      </c>
      <c r="F38" s="29" cm="1">
        <f t="array" ref="F38">_xlfn.IFS($C$6=Validation!$O$2,W38,$C$6=Validation!$O$3,AG38,$C$6=Validation!$O$4,AP38)</f>
        <v>24</v>
      </c>
      <c r="G38" s="30" cm="1">
        <f t="array" ref="G38">_xlfn.IFS($C$6=Validation!$O$2,X38,$C$6=Validation!$O$3,AH38,$C$6=Validation!$O$4,AQ38)</f>
        <v>35</v>
      </c>
      <c r="H38" s="31" cm="1">
        <f t="array" ref="H38">_xlfn.IFS($C$6=Validation!$O$2,Y38,$C$6=Validation!$O$3,AI38,$C$6=Validation!$O$4,AR38)</f>
        <v>70</v>
      </c>
      <c r="I38" s="1"/>
      <c r="J38" s="1"/>
      <c r="K38" s="1"/>
      <c r="L38" s="1"/>
      <c r="M38" s="1"/>
      <c r="N38" s="1"/>
      <c r="O38" s="1"/>
      <c r="P38" s="1"/>
      <c r="Q38" s="1"/>
      <c r="R38" s="1"/>
      <c r="S38" s="25" t="s">
        <v>107</v>
      </c>
      <c r="T38" s="32">
        <v>1</v>
      </c>
      <c r="U38" s="27">
        <v>0.2</v>
      </c>
      <c r="V38" s="28">
        <v>2</v>
      </c>
      <c r="W38" s="29">
        <f t="shared" si="0"/>
        <v>24</v>
      </c>
      <c r="X38" s="30">
        <f t="shared" si="1"/>
        <v>35</v>
      </c>
      <c r="Y38" s="31">
        <f t="shared" si="2"/>
        <v>70</v>
      </c>
      <c r="Z38" s="1"/>
      <c r="AA38" s="1"/>
      <c r="AB38" s="1"/>
      <c r="AC38" s="25" t="s">
        <v>108</v>
      </c>
      <c r="AD38" s="32">
        <v>1</v>
      </c>
      <c r="AE38" s="27">
        <v>0.2</v>
      </c>
      <c r="AF38" s="28">
        <v>2</v>
      </c>
      <c r="AG38" s="29">
        <f t="shared" si="3"/>
        <v>24</v>
      </c>
      <c r="AH38" s="30">
        <f t="shared" si="4"/>
        <v>35</v>
      </c>
      <c r="AI38" s="31">
        <f t="shared" si="5"/>
        <v>70</v>
      </c>
      <c r="AL38" s="58" t="s">
        <v>233</v>
      </c>
      <c r="AM38" s="77">
        <v>1</v>
      </c>
      <c r="AN38" s="65">
        <v>0.2</v>
      </c>
      <c r="AO38" s="74">
        <v>2</v>
      </c>
      <c r="AP38" s="75">
        <f t="shared" si="6"/>
        <v>24</v>
      </c>
      <c r="AQ38" s="76">
        <f t="shared" si="7"/>
        <v>35</v>
      </c>
      <c r="AR38" s="69">
        <f t="shared" si="8"/>
        <v>70</v>
      </c>
      <c r="AS38" s="61"/>
    </row>
    <row r="39" spans="1:45" ht="15.75" customHeight="1" x14ac:dyDescent="0.2">
      <c r="A39" s="1"/>
      <c r="B39" s="1"/>
      <c r="C39" s="1"/>
      <c r="D39" s="27" cm="1">
        <f t="array" ref="D39">_xlfn.IFS($C$6=Validation!$O$2,U39,$C$6=Validation!$O$3,AE39,$C$6=Validation!$O$4,AN39)</f>
        <v>0.3</v>
      </c>
      <c r="E39" s="28" cm="1">
        <f t="array" ref="E39">_xlfn.IFS($C$6=Validation!$O$2,V39,$C$6=Validation!$O$3,AF39,$C$6=Validation!$O$4,AO39)</f>
        <v>4</v>
      </c>
      <c r="F39" s="29" cm="1">
        <f t="array" ref="F39">_xlfn.IFS($C$6=Validation!$O$2,W39,$C$6=Validation!$O$3,AG39,$C$6=Validation!$O$4,AP39)</f>
        <v>48</v>
      </c>
      <c r="G39" s="30" cm="1">
        <f t="array" ref="G39">_xlfn.IFS($C$6=Validation!$O$2,X39,$C$6=Validation!$O$3,AH39,$C$6=Validation!$O$4,AQ39)</f>
        <v>17.5</v>
      </c>
      <c r="H39" s="31" cm="1">
        <f t="array" ref="H39">_xlfn.IFS($C$6=Validation!$O$2,Y39,$C$6=Validation!$O$3,AI39,$C$6=Validation!$O$4,AR39)</f>
        <v>70</v>
      </c>
      <c r="I39" s="1"/>
      <c r="J39" s="1"/>
      <c r="K39" s="1"/>
      <c r="L39" s="1"/>
      <c r="M39" s="1"/>
      <c r="N39" s="1"/>
      <c r="O39" s="1"/>
      <c r="P39" s="1"/>
      <c r="Q39" s="1"/>
      <c r="R39" s="1"/>
      <c r="S39" s="1"/>
      <c r="T39" s="1"/>
      <c r="U39" s="27">
        <v>0.3</v>
      </c>
      <c r="V39" s="28">
        <v>4</v>
      </c>
      <c r="W39" s="29">
        <f t="shared" si="0"/>
        <v>48</v>
      </c>
      <c r="X39" s="30">
        <f t="shared" si="1"/>
        <v>17.5</v>
      </c>
      <c r="Y39" s="31">
        <f t="shared" si="2"/>
        <v>70</v>
      </c>
      <c r="Z39" s="1"/>
      <c r="AA39" s="1"/>
      <c r="AB39" s="1"/>
      <c r="AC39" s="1"/>
      <c r="AD39" s="1"/>
      <c r="AE39" s="27">
        <v>0.3</v>
      </c>
      <c r="AF39" s="28">
        <v>4</v>
      </c>
      <c r="AG39" s="29">
        <f t="shared" si="3"/>
        <v>48</v>
      </c>
      <c r="AH39" s="30">
        <f t="shared" si="4"/>
        <v>17.5</v>
      </c>
      <c r="AI39" s="31">
        <f t="shared" si="5"/>
        <v>70</v>
      </c>
      <c r="AL39" s="49"/>
      <c r="AM39" s="49"/>
      <c r="AN39" s="65">
        <v>0.30000000000000004</v>
      </c>
      <c r="AO39" s="74">
        <v>4</v>
      </c>
      <c r="AP39" s="75">
        <f t="shared" si="6"/>
        <v>48</v>
      </c>
      <c r="AQ39" s="76">
        <f t="shared" si="7"/>
        <v>17.5</v>
      </c>
      <c r="AR39" s="69">
        <f t="shared" si="8"/>
        <v>70</v>
      </c>
      <c r="AS39" s="61"/>
    </row>
    <row r="40" spans="1:45" ht="15.75" customHeight="1" x14ac:dyDescent="0.2">
      <c r="A40" s="1"/>
      <c r="B40" s="1"/>
      <c r="C40" s="1"/>
      <c r="D40" s="27" cm="1">
        <f t="array" ref="D40">_xlfn.IFS($C$6=Validation!$O$2,U40,$C$6=Validation!$O$3,AE40,$C$6=Validation!$O$4,AN40)</f>
        <v>0.4</v>
      </c>
      <c r="E40" s="28" cm="1">
        <f t="array" ref="E40">_xlfn.IFS($C$6=Validation!$O$2,V40,$C$6=Validation!$O$3,AF40,$C$6=Validation!$O$4,AO40)</f>
        <v>7</v>
      </c>
      <c r="F40" s="29" cm="1">
        <f t="array" ref="F40">_xlfn.IFS($C$6=Validation!$O$2,W40,$C$6=Validation!$O$3,AG40,$C$6=Validation!$O$4,AP40)</f>
        <v>84</v>
      </c>
      <c r="G40" s="30" cm="1">
        <f t="array" ref="G40">_xlfn.IFS($C$6=Validation!$O$2,X40,$C$6=Validation!$O$3,AH40,$C$6=Validation!$O$4,AQ40)</f>
        <v>10</v>
      </c>
      <c r="H40" s="31" cm="1">
        <f t="array" ref="H40">_xlfn.IFS($C$6=Validation!$O$2,Y40,$C$6=Validation!$O$3,AI40,$C$6=Validation!$O$4,AR40)</f>
        <v>70</v>
      </c>
      <c r="I40" s="1"/>
      <c r="J40" s="1"/>
      <c r="K40" s="1"/>
      <c r="L40" s="1"/>
      <c r="M40" s="1"/>
      <c r="N40" s="1"/>
      <c r="O40" s="1"/>
      <c r="P40" s="1"/>
      <c r="Q40" s="1"/>
      <c r="R40" s="1"/>
      <c r="S40" s="1"/>
      <c r="T40" s="1"/>
      <c r="U40" s="27">
        <v>0.4</v>
      </c>
      <c r="V40" s="28">
        <v>7</v>
      </c>
      <c r="W40" s="29">
        <f t="shared" si="0"/>
        <v>84</v>
      </c>
      <c r="X40" s="30">
        <f t="shared" si="1"/>
        <v>10</v>
      </c>
      <c r="Y40" s="31">
        <f t="shared" si="2"/>
        <v>70</v>
      </c>
      <c r="Z40" s="1"/>
      <c r="AA40" s="1"/>
      <c r="AB40" s="1"/>
      <c r="AC40" s="1"/>
      <c r="AD40" s="1"/>
      <c r="AE40" s="27">
        <v>0.4</v>
      </c>
      <c r="AF40" s="28">
        <v>7</v>
      </c>
      <c r="AG40" s="29">
        <f t="shared" si="3"/>
        <v>84</v>
      </c>
      <c r="AH40" s="30">
        <f t="shared" si="4"/>
        <v>10</v>
      </c>
      <c r="AI40" s="31">
        <f t="shared" si="5"/>
        <v>70</v>
      </c>
      <c r="AL40" s="49"/>
      <c r="AM40" s="49"/>
      <c r="AN40" s="65">
        <v>0.4</v>
      </c>
      <c r="AO40" s="74">
        <v>7</v>
      </c>
      <c r="AP40" s="75">
        <f t="shared" si="6"/>
        <v>84</v>
      </c>
      <c r="AQ40" s="76">
        <f t="shared" si="7"/>
        <v>10</v>
      </c>
      <c r="AR40" s="69">
        <f t="shared" si="8"/>
        <v>70</v>
      </c>
      <c r="AS40" s="61"/>
    </row>
    <row r="41" spans="1:45" ht="15.75" customHeight="1" x14ac:dyDescent="0.2">
      <c r="A41" s="1"/>
      <c r="B41" s="1"/>
      <c r="C41" s="1"/>
      <c r="D41" s="27" cm="1">
        <f t="array" ref="D41">_xlfn.IFS($C$6=Validation!$O$2,U41,$C$6=Validation!$O$3,AE41,$C$6=Validation!$O$4,AN41)</f>
        <v>0.5</v>
      </c>
      <c r="E41" s="28" cm="1">
        <f t="array" ref="E41">_xlfn.IFS($C$6=Validation!$O$2,V41,$C$6=Validation!$O$3,AF41,$C$6=Validation!$O$4,AO41)</f>
        <v>12</v>
      </c>
      <c r="F41" s="29" cm="1">
        <f t="array" ref="F41">_xlfn.IFS($C$6=Validation!$O$2,W41,$C$6=Validation!$O$3,AG41,$C$6=Validation!$O$4,AP41)</f>
        <v>144</v>
      </c>
      <c r="G41" s="30" cm="1">
        <f t="array" ref="G41">_xlfn.IFS($C$6=Validation!$O$2,X41,$C$6=Validation!$O$3,AH41,$C$6=Validation!$O$4,AQ41)</f>
        <v>5.8333333333333339</v>
      </c>
      <c r="H41" s="31" cm="1">
        <f t="array" ref="H41">_xlfn.IFS($C$6=Validation!$O$2,Y41,$C$6=Validation!$O$3,AI41,$C$6=Validation!$O$4,AR41)</f>
        <v>70</v>
      </c>
      <c r="I41" s="1"/>
      <c r="J41" s="1"/>
      <c r="K41" s="1"/>
      <c r="L41" s="1"/>
      <c r="M41" s="1"/>
      <c r="N41" s="1"/>
      <c r="O41" s="1"/>
      <c r="P41" s="1"/>
      <c r="Q41" s="1"/>
      <c r="R41" s="1"/>
      <c r="S41" s="1"/>
      <c r="T41" s="1"/>
      <c r="U41" s="27">
        <v>0.5</v>
      </c>
      <c r="V41" s="28">
        <v>12</v>
      </c>
      <c r="W41" s="29">
        <f t="shared" si="0"/>
        <v>144</v>
      </c>
      <c r="X41" s="30">
        <f t="shared" si="1"/>
        <v>5.8333333333333339</v>
      </c>
      <c r="Y41" s="31">
        <f t="shared" si="2"/>
        <v>70</v>
      </c>
      <c r="Z41" s="1"/>
      <c r="AA41" s="1"/>
      <c r="AB41" s="1"/>
      <c r="AC41" s="1"/>
      <c r="AD41" s="1"/>
      <c r="AE41" s="27">
        <v>0.5</v>
      </c>
      <c r="AF41" s="28">
        <v>12</v>
      </c>
      <c r="AG41" s="29">
        <f t="shared" si="3"/>
        <v>144</v>
      </c>
      <c r="AH41" s="30">
        <f t="shared" si="4"/>
        <v>5.8333333333333339</v>
      </c>
      <c r="AI41" s="31">
        <f t="shared" si="5"/>
        <v>70</v>
      </c>
      <c r="AL41" s="49"/>
      <c r="AM41" s="49"/>
      <c r="AN41" s="65">
        <v>0.5</v>
      </c>
      <c r="AO41" s="74">
        <v>12</v>
      </c>
      <c r="AP41" s="75">
        <f t="shared" si="6"/>
        <v>144</v>
      </c>
      <c r="AQ41" s="76">
        <f t="shared" si="7"/>
        <v>5.8333333333333339</v>
      </c>
      <c r="AR41" s="69">
        <f t="shared" si="8"/>
        <v>70</v>
      </c>
      <c r="AS41" s="61"/>
    </row>
    <row r="42" spans="1:45" ht="15.75" customHeight="1" x14ac:dyDescent="0.2">
      <c r="A42" s="1"/>
      <c r="B42" s="1"/>
      <c r="C42" s="1"/>
      <c r="D42" s="27" cm="1">
        <f t="array" ref="D42">_xlfn.IFS($C$6=Validation!$O$2,U42,$C$6=Validation!$O$3,AE42,$C$6=Validation!$O$4,AN42)</f>
        <v>0.6</v>
      </c>
      <c r="E42" s="28" cm="1">
        <f t="array" ref="E42">_xlfn.IFS($C$6=Validation!$O$2,V42,$C$6=Validation!$O$3,AF42,$C$6=Validation!$O$4,AO42)</f>
        <v>17</v>
      </c>
      <c r="F42" s="29" cm="1">
        <f t="array" ref="F42">_xlfn.IFS($C$6=Validation!$O$2,W42,$C$6=Validation!$O$3,AG42,$C$6=Validation!$O$4,AP42)</f>
        <v>204</v>
      </c>
      <c r="G42" s="30" cm="1">
        <f t="array" ref="G42">_xlfn.IFS($C$6=Validation!$O$2,X42,$C$6=Validation!$O$3,AH42,$C$6=Validation!$O$4,AQ42)</f>
        <v>4.117647058823529</v>
      </c>
      <c r="H42" s="31" cm="1">
        <f t="array" ref="H42">_xlfn.IFS($C$6=Validation!$O$2,Y42,$C$6=Validation!$O$3,AI42,$C$6=Validation!$O$4,AR42)</f>
        <v>70</v>
      </c>
      <c r="I42" s="1"/>
      <c r="J42" s="1"/>
      <c r="K42" s="1"/>
      <c r="L42" s="1"/>
      <c r="M42" s="1"/>
      <c r="N42" s="1"/>
      <c r="O42" s="1"/>
      <c r="P42" s="1"/>
      <c r="Q42" s="1"/>
      <c r="R42" s="1"/>
      <c r="S42" s="1"/>
      <c r="T42" s="1"/>
      <c r="U42" s="27">
        <v>0.6</v>
      </c>
      <c r="V42" s="28">
        <v>17</v>
      </c>
      <c r="W42" s="29">
        <f t="shared" si="0"/>
        <v>204</v>
      </c>
      <c r="X42" s="30">
        <f t="shared" si="1"/>
        <v>4.117647058823529</v>
      </c>
      <c r="Y42" s="31">
        <f t="shared" si="2"/>
        <v>70</v>
      </c>
      <c r="Z42" s="1"/>
      <c r="AA42" s="1"/>
      <c r="AB42" s="1"/>
      <c r="AC42" s="1"/>
      <c r="AD42" s="1"/>
      <c r="AE42" s="27">
        <v>0.6</v>
      </c>
      <c r="AF42" s="28">
        <v>17</v>
      </c>
      <c r="AG42" s="29">
        <f t="shared" si="3"/>
        <v>204</v>
      </c>
      <c r="AH42" s="30">
        <f t="shared" si="4"/>
        <v>4.117647058823529</v>
      </c>
      <c r="AI42" s="31">
        <f t="shared" si="5"/>
        <v>70</v>
      </c>
      <c r="AL42" s="49"/>
      <c r="AM42" s="49"/>
      <c r="AN42" s="65">
        <v>0.60000000000000009</v>
      </c>
      <c r="AO42" s="74">
        <v>17</v>
      </c>
      <c r="AP42" s="75">
        <f t="shared" si="6"/>
        <v>204</v>
      </c>
      <c r="AQ42" s="76">
        <f t="shared" si="7"/>
        <v>4.117647058823529</v>
      </c>
      <c r="AR42" s="69">
        <f t="shared" si="8"/>
        <v>70</v>
      </c>
      <c r="AS42" s="61"/>
    </row>
    <row r="43" spans="1:45" ht="15.75" customHeight="1" x14ac:dyDescent="0.2">
      <c r="A43" s="1"/>
      <c r="B43" s="1"/>
      <c r="C43" s="1"/>
      <c r="D43" s="27" cm="1">
        <f t="array" ref="D43">_xlfn.IFS($C$6=Validation!$O$2,U43,$C$6=Validation!$O$3,AE43,$C$6=Validation!$O$4,AN43)</f>
        <v>0.75</v>
      </c>
      <c r="E43" s="28" cm="1">
        <f t="array" ref="E43">_xlfn.IFS($C$6=Validation!$O$2,V43,$C$6=Validation!$O$3,AF43,$C$6=Validation!$O$4,AO43)</f>
        <v>26</v>
      </c>
      <c r="F43" s="29" cm="1">
        <f t="array" ref="F43">_xlfn.IFS($C$6=Validation!$O$2,W43,$C$6=Validation!$O$3,AG43,$C$6=Validation!$O$4,AP43)</f>
        <v>312</v>
      </c>
      <c r="G43" s="30" cm="1">
        <f t="array" ref="G43">_xlfn.IFS($C$6=Validation!$O$2,X43,$C$6=Validation!$O$3,AH43,$C$6=Validation!$O$4,AQ43)</f>
        <v>2.6923076923076921</v>
      </c>
      <c r="H43" s="31" cm="1">
        <f t="array" ref="H43">_xlfn.IFS($C$6=Validation!$O$2,Y43,$C$6=Validation!$O$3,AI43,$C$6=Validation!$O$4,AR43)</f>
        <v>70</v>
      </c>
      <c r="I43" s="1"/>
      <c r="J43" s="1"/>
      <c r="K43" s="1"/>
      <c r="L43" s="1"/>
      <c r="M43" s="1"/>
      <c r="N43" s="1"/>
      <c r="O43" s="1"/>
      <c r="P43" s="1"/>
      <c r="Q43" s="1"/>
      <c r="R43" s="1"/>
      <c r="S43" s="1"/>
      <c r="T43" s="1"/>
      <c r="U43" s="27">
        <v>0.75</v>
      </c>
      <c r="V43" s="28">
        <v>26</v>
      </c>
      <c r="W43" s="29">
        <f t="shared" si="0"/>
        <v>312</v>
      </c>
      <c r="X43" s="30">
        <f t="shared" si="1"/>
        <v>2.6923076923076921</v>
      </c>
      <c r="Y43" s="31">
        <f t="shared" si="2"/>
        <v>70</v>
      </c>
      <c r="Z43" s="1"/>
      <c r="AA43" s="1"/>
      <c r="AB43" s="1"/>
      <c r="AC43" s="1"/>
      <c r="AD43" s="1"/>
      <c r="AE43" s="27">
        <v>0.75</v>
      </c>
      <c r="AF43" s="28">
        <v>26</v>
      </c>
      <c r="AG43" s="29">
        <f t="shared" si="3"/>
        <v>312</v>
      </c>
      <c r="AH43" s="30">
        <f t="shared" si="4"/>
        <v>2.6923076923076921</v>
      </c>
      <c r="AI43" s="31">
        <f t="shared" si="5"/>
        <v>70</v>
      </c>
      <c r="AL43" s="49"/>
      <c r="AM43" s="49"/>
      <c r="AN43" s="65">
        <v>0.75</v>
      </c>
      <c r="AO43" s="74">
        <v>26</v>
      </c>
      <c r="AP43" s="75">
        <f t="shared" si="6"/>
        <v>312</v>
      </c>
      <c r="AQ43" s="76">
        <f t="shared" si="7"/>
        <v>2.6923076923076921</v>
      </c>
      <c r="AR43" s="69">
        <f t="shared" si="8"/>
        <v>70</v>
      </c>
      <c r="AS43" s="61"/>
    </row>
    <row r="44" spans="1:45" ht="15.75" customHeight="1" x14ac:dyDescent="0.2">
      <c r="A44" s="1"/>
      <c r="B44" s="1"/>
      <c r="C44" s="1"/>
      <c r="D44" s="27" cm="1">
        <f t="array" ref="D44">_xlfn.IFS($C$6=Validation!$O$2,U44,$C$6=Validation!$O$3,AE44,$C$6=Validation!$O$4,AN44)</f>
        <v>0.8</v>
      </c>
      <c r="E44" s="28" cm="1">
        <f t="array" ref="E44">_xlfn.IFS($C$6=Validation!$O$2,V44,$C$6=Validation!$O$3,AF44,$C$6=Validation!$O$4,AO44)</f>
        <v>33</v>
      </c>
      <c r="F44" s="29" cm="1">
        <f t="array" ref="F44">_xlfn.IFS($C$6=Validation!$O$2,W44,$C$6=Validation!$O$3,AG44,$C$6=Validation!$O$4,AP44)</f>
        <v>396</v>
      </c>
      <c r="G44" s="30" cm="1">
        <f t="array" ref="G44">_xlfn.IFS($C$6=Validation!$O$2,X44,$C$6=Validation!$O$3,AH44,$C$6=Validation!$O$4,AQ44)</f>
        <v>2.1212121212121211</v>
      </c>
      <c r="H44" s="31" cm="1">
        <f t="array" ref="H44">_xlfn.IFS($C$6=Validation!$O$2,Y44,$C$6=Validation!$O$3,AI44,$C$6=Validation!$O$4,AR44)</f>
        <v>70</v>
      </c>
      <c r="I44" s="1"/>
      <c r="J44" s="1"/>
      <c r="K44" s="1"/>
      <c r="L44" s="1"/>
      <c r="M44" s="1"/>
      <c r="N44" s="1"/>
      <c r="O44" s="1"/>
      <c r="P44" s="1"/>
      <c r="Q44" s="1"/>
      <c r="R44" s="1"/>
      <c r="S44" s="1"/>
      <c r="T44" s="1"/>
      <c r="U44" s="27">
        <v>0.8</v>
      </c>
      <c r="V44" s="28">
        <v>33</v>
      </c>
      <c r="W44" s="29">
        <f t="shared" si="0"/>
        <v>396</v>
      </c>
      <c r="X44" s="30">
        <f t="shared" si="1"/>
        <v>2.1212121212121211</v>
      </c>
      <c r="Y44" s="31">
        <f t="shared" si="2"/>
        <v>70</v>
      </c>
      <c r="Z44" s="1"/>
      <c r="AA44" s="1"/>
      <c r="AB44" s="1"/>
      <c r="AC44" s="1"/>
      <c r="AD44" s="1"/>
      <c r="AE44" s="27">
        <v>0.8</v>
      </c>
      <c r="AF44" s="28">
        <v>33</v>
      </c>
      <c r="AG44" s="29">
        <f t="shared" si="3"/>
        <v>396</v>
      </c>
      <c r="AH44" s="30">
        <f t="shared" si="4"/>
        <v>2.1212121212121211</v>
      </c>
      <c r="AI44" s="31">
        <f t="shared" si="5"/>
        <v>70</v>
      </c>
      <c r="AL44" s="49"/>
      <c r="AM44" s="49"/>
      <c r="AN44" s="65">
        <v>0.8</v>
      </c>
      <c r="AO44" s="74">
        <v>33</v>
      </c>
      <c r="AP44" s="75">
        <f t="shared" si="6"/>
        <v>396</v>
      </c>
      <c r="AQ44" s="76">
        <f t="shared" si="7"/>
        <v>2.1212121212121211</v>
      </c>
      <c r="AR44" s="69">
        <f t="shared" si="8"/>
        <v>70</v>
      </c>
      <c r="AS44" s="61"/>
    </row>
    <row r="45" spans="1:45" ht="15.75" customHeight="1" x14ac:dyDescent="0.2">
      <c r="A45" s="1"/>
      <c r="B45" s="1"/>
      <c r="C45" s="1"/>
      <c r="D45" s="27" cm="1">
        <f t="array" ref="D45">_xlfn.IFS($C$6=Validation!$O$2,U45,$C$6=Validation!$O$3,AE45,$C$6=Validation!$O$4,AN45)</f>
        <v>0.9</v>
      </c>
      <c r="E45" s="28" cm="1">
        <f t="array" ref="E45">_xlfn.IFS($C$6=Validation!$O$2,V45,$C$6=Validation!$O$3,AF45,$C$6=Validation!$O$4,AO45)</f>
        <v>41</v>
      </c>
      <c r="F45" s="29" cm="1">
        <f t="array" ref="F45">_xlfn.IFS($C$6=Validation!$O$2,W45,$C$6=Validation!$O$3,AG45,$C$6=Validation!$O$4,AP45)</f>
        <v>492</v>
      </c>
      <c r="G45" s="30" cm="1">
        <f t="array" ref="G45">_xlfn.IFS($C$6=Validation!$O$2,X45,$C$6=Validation!$O$3,AH45,$C$6=Validation!$O$4,AQ45)</f>
        <v>1.7073170731707319</v>
      </c>
      <c r="H45" s="31" cm="1">
        <f t="array" ref="H45">_xlfn.IFS($C$6=Validation!$O$2,Y45,$C$6=Validation!$O$3,AI45,$C$6=Validation!$O$4,AR45)</f>
        <v>70.000000000000014</v>
      </c>
      <c r="I45" s="1"/>
      <c r="J45" s="1"/>
      <c r="K45" s="1"/>
      <c r="L45" s="1"/>
      <c r="M45" s="1"/>
      <c r="N45" s="1"/>
      <c r="O45" s="1"/>
      <c r="P45" s="1"/>
      <c r="Q45" s="1"/>
      <c r="R45" s="1"/>
      <c r="S45" s="1"/>
      <c r="T45" s="1"/>
      <c r="U45" s="27">
        <v>0.9</v>
      </c>
      <c r="V45" s="28">
        <v>41</v>
      </c>
      <c r="W45" s="29">
        <f t="shared" si="0"/>
        <v>492</v>
      </c>
      <c r="X45" s="30">
        <f t="shared" si="1"/>
        <v>1.7073170731707319</v>
      </c>
      <c r="Y45" s="31">
        <f t="shared" si="2"/>
        <v>70.000000000000014</v>
      </c>
      <c r="Z45" s="1"/>
      <c r="AA45" s="1"/>
      <c r="AB45" s="1"/>
      <c r="AC45" s="1"/>
      <c r="AD45" s="1"/>
      <c r="AE45" s="27">
        <v>0.9</v>
      </c>
      <c r="AF45" s="28">
        <v>41</v>
      </c>
      <c r="AG45" s="29">
        <f t="shared" si="3"/>
        <v>492</v>
      </c>
      <c r="AH45" s="30">
        <f t="shared" si="4"/>
        <v>1.7073170731707319</v>
      </c>
      <c r="AI45" s="31">
        <f t="shared" si="5"/>
        <v>70.000000000000014</v>
      </c>
      <c r="AL45" s="49"/>
      <c r="AM45" s="49"/>
      <c r="AN45" s="65">
        <v>0.9</v>
      </c>
      <c r="AO45" s="74">
        <v>41</v>
      </c>
      <c r="AP45" s="75">
        <f t="shared" si="6"/>
        <v>492</v>
      </c>
      <c r="AQ45" s="76">
        <f t="shared" si="7"/>
        <v>1.7073170731707319</v>
      </c>
      <c r="AR45" s="69">
        <f t="shared" si="8"/>
        <v>70.000000000000014</v>
      </c>
      <c r="AS45" s="61"/>
    </row>
    <row r="46" spans="1:45" ht="15.75" customHeight="1" x14ac:dyDescent="0.2">
      <c r="A46" s="1"/>
      <c r="B46" s="1"/>
      <c r="C46" s="1"/>
      <c r="D46" s="27" cm="1">
        <f t="array" ref="D46">_xlfn.IFS($C$6=Validation!$O$2,U46,$C$6=Validation!$O$3,AE46,$C$6=Validation!$O$4,AN46)</f>
        <v>1</v>
      </c>
      <c r="E46" s="28" cm="1">
        <f t="array" ref="E46">_xlfn.IFS($C$6=Validation!$O$2,V46,$C$6=Validation!$O$3,AF46,$C$6=Validation!$O$4,AO46)</f>
        <v>46</v>
      </c>
      <c r="F46" s="29" cm="1">
        <f t="array" ref="F46">_xlfn.IFS($C$6=Validation!$O$2,W46,$C$6=Validation!$O$3,AG46,$C$6=Validation!$O$4,AP46)</f>
        <v>552</v>
      </c>
      <c r="G46" s="30" cm="1">
        <f t="array" ref="G46">_xlfn.IFS($C$6=Validation!$O$2,X46,$C$6=Validation!$O$3,AH46,$C$6=Validation!$O$4,AQ46)</f>
        <v>1.5217391304347827</v>
      </c>
      <c r="H46" s="31" cm="1">
        <f t="array" ref="H46">_xlfn.IFS($C$6=Validation!$O$2,Y46,$C$6=Validation!$O$3,AI46,$C$6=Validation!$O$4,AR46)</f>
        <v>70</v>
      </c>
      <c r="I46" s="1"/>
      <c r="J46" s="1"/>
      <c r="K46" s="1"/>
      <c r="L46" s="1"/>
      <c r="M46" s="1"/>
      <c r="N46" s="1"/>
      <c r="O46" s="1"/>
      <c r="P46" s="1"/>
      <c r="Q46" s="1"/>
      <c r="R46" s="1"/>
      <c r="S46" s="1"/>
      <c r="T46" s="1"/>
      <c r="U46" s="27">
        <v>1</v>
      </c>
      <c r="V46" s="28">
        <v>46</v>
      </c>
      <c r="W46" s="29">
        <f t="shared" si="0"/>
        <v>552</v>
      </c>
      <c r="X46" s="30">
        <f t="shared" si="1"/>
        <v>1.5217391304347827</v>
      </c>
      <c r="Y46" s="31">
        <f t="shared" si="2"/>
        <v>70</v>
      </c>
      <c r="Z46" s="1"/>
      <c r="AA46" s="1"/>
      <c r="AB46" s="1"/>
      <c r="AC46" s="1"/>
      <c r="AD46" s="1"/>
      <c r="AE46" s="27">
        <v>1</v>
      </c>
      <c r="AF46" s="28">
        <v>46</v>
      </c>
      <c r="AG46" s="29">
        <f t="shared" si="3"/>
        <v>552</v>
      </c>
      <c r="AH46" s="30">
        <f t="shared" si="4"/>
        <v>1.5217391304347827</v>
      </c>
      <c r="AI46" s="31">
        <f t="shared" si="5"/>
        <v>70</v>
      </c>
      <c r="AL46" s="49"/>
      <c r="AM46" s="49"/>
      <c r="AN46" s="65">
        <v>1</v>
      </c>
      <c r="AO46" s="74">
        <v>46</v>
      </c>
      <c r="AP46" s="75">
        <f t="shared" si="6"/>
        <v>552</v>
      </c>
      <c r="AQ46" s="76">
        <f t="shared" si="7"/>
        <v>1.5217391304347827</v>
      </c>
      <c r="AR46" s="69">
        <f t="shared" si="8"/>
        <v>70</v>
      </c>
      <c r="AS46" s="61"/>
    </row>
    <row r="47" spans="1:45" ht="15.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row>
    <row r="48" spans="1:45" ht="15.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row>
    <row r="49" spans="1:35" ht="15.75" customHeight="1" x14ac:dyDescent="0.2">
      <c r="A49" s="1"/>
      <c r="B49" s="4"/>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row>
    <row r="50" spans="1:35"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row>
    <row r="51" spans="1:35"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row>
    <row r="52" spans="1:35"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row>
    <row r="53" spans="1:35"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row>
    <row r="54" spans="1:35"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row>
    <row r="55" spans="1:35"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row>
    <row r="56" spans="1:35"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row>
    <row r="57" spans="1:35"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row>
    <row r="58" spans="1:35"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row>
    <row r="59" spans="1:35"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row>
    <row r="60" spans="1:35"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row>
    <row r="61" spans="1:35"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row>
    <row r="62" spans="1:35"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row>
    <row r="63" spans="1:35"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row>
    <row r="64" spans="1:35"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row>
    <row r="65" spans="1:35"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row>
    <row r="66" spans="1:35"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row>
    <row r="67" spans="1:35"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row>
    <row r="68" spans="1:35"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row>
    <row r="69" spans="1:35"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row>
    <row r="70" spans="1:35"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row>
    <row r="71" spans="1:35"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row>
    <row r="72" spans="1:35"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row>
    <row r="73" spans="1:35"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row>
    <row r="74" spans="1:35"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row>
    <row r="75" spans="1:35"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row>
    <row r="76" spans="1:35"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row>
    <row r="77" spans="1:35"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row>
    <row r="78" spans="1:35"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row>
    <row r="79" spans="1:35"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row>
    <row r="80" spans="1:35"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row>
    <row r="81" spans="1:35"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row>
    <row r="82" spans="1:35"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row>
    <row r="83" spans="1:35"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row>
    <row r="84" spans="1:35"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row>
    <row r="85" spans="1:35"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row>
    <row r="86" spans="1:35"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row>
    <row r="87" spans="1:35"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row>
    <row r="88" spans="1:35"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row>
    <row r="89" spans="1:35"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row>
    <row r="90" spans="1:35"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row>
    <row r="91" spans="1:35"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row>
    <row r="92" spans="1:35"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row>
    <row r="93" spans="1:35"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row>
    <row r="94" spans="1:35"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row>
    <row r="95" spans="1:35"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row>
    <row r="96" spans="1:35"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row>
    <row r="97" spans="1:35"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row>
    <row r="98" spans="1:35"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row>
    <row r="99" spans="1:35"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row>
    <row r="100" spans="1:35"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row>
    <row r="101" spans="1:35"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row>
    <row r="102" spans="1:35"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row>
    <row r="103" spans="1:35"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row>
    <row r="104" spans="1:35"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row>
    <row r="105" spans="1:35"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row>
    <row r="106" spans="1:35"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row>
    <row r="107" spans="1:35"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row>
    <row r="108" spans="1:35"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row>
    <row r="109" spans="1:35"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row>
    <row r="110" spans="1:35"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row>
    <row r="111" spans="1:35"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row>
    <row r="112" spans="1:35"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row>
    <row r="113" spans="1:35"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row>
    <row r="114" spans="1:35"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row>
    <row r="115" spans="1:35"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row>
    <row r="116" spans="1:35"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row>
    <row r="117" spans="1:35"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row>
    <row r="118" spans="1:35"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row>
    <row r="119" spans="1:35"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row>
    <row r="120" spans="1:35"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row>
    <row r="121" spans="1:35"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row>
    <row r="122" spans="1:35"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row>
    <row r="123" spans="1:35"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row>
    <row r="124" spans="1:35"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row>
    <row r="125" spans="1:35"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row>
    <row r="126" spans="1:35"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row>
    <row r="127" spans="1:35"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row>
    <row r="128" spans="1:35"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row>
    <row r="129" spans="1:35"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row>
    <row r="130" spans="1:35"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row>
    <row r="131" spans="1:35"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row>
    <row r="132" spans="1:35"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row>
    <row r="133" spans="1:35"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row>
    <row r="134" spans="1:35"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row>
    <row r="135" spans="1:35"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row>
    <row r="136" spans="1:35"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row>
    <row r="137" spans="1:35"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row>
    <row r="138" spans="1:35"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row>
    <row r="139" spans="1:35"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row>
    <row r="140" spans="1:35"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row>
    <row r="141" spans="1:35"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row>
    <row r="142" spans="1:35"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row>
    <row r="143" spans="1:35"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row>
    <row r="144" spans="1:35"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row>
    <row r="145" spans="1:35"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row>
    <row r="146" spans="1:35"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row>
    <row r="147" spans="1:35"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row>
    <row r="148" spans="1:35"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row>
    <row r="149" spans="1:35"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row>
    <row r="150" spans="1:35"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row>
    <row r="151" spans="1:35"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row>
    <row r="152" spans="1:35"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row>
    <row r="153" spans="1:35"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row>
    <row r="154" spans="1:35"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row>
    <row r="155" spans="1:35"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row>
    <row r="156" spans="1:35"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row>
    <row r="157" spans="1:35"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row>
    <row r="158" spans="1:35"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row>
    <row r="159" spans="1:35"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row>
    <row r="160" spans="1:35"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row>
    <row r="161" spans="1:35"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row>
    <row r="162" spans="1:35"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row>
    <row r="163" spans="1:35"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row>
    <row r="164" spans="1:35"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row>
    <row r="165" spans="1:35"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row>
    <row r="166" spans="1:35"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row>
    <row r="167" spans="1:35"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row>
    <row r="168" spans="1:35"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row>
    <row r="169" spans="1:35"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row>
    <row r="170" spans="1:35"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row>
    <row r="171" spans="1:35"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row>
    <row r="172" spans="1:35"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row>
    <row r="173" spans="1:35"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row>
    <row r="174" spans="1:35"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row>
    <row r="175" spans="1:35"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row>
    <row r="176" spans="1:35"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row>
    <row r="177" spans="1:35"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row>
    <row r="178" spans="1:35"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row>
    <row r="179" spans="1:35"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row>
    <row r="180" spans="1:35"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row>
    <row r="181" spans="1:35"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row>
    <row r="182" spans="1:35"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row>
    <row r="183" spans="1:35"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row>
    <row r="184" spans="1:35"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row>
    <row r="185" spans="1:35"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row>
    <row r="186" spans="1:35"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row>
    <row r="187" spans="1:35"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row>
    <row r="188" spans="1:35"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row>
    <row r="189" spans="1:35"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row>
    <row r="190" spans="1:35"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row>
    <row r="191" spans="1:35"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row>
    <row r="192" spans="1:35"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row>
    <row r="193" spans="1:35"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row>
    <row r="194" spans="1:35"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row>
    <row r="195" spans="1:35"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row>
    <row r="196" spans="1:35"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row>
    <row r="197" spans="1:35"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row>
    <row r="198" spans="1:35"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row>
    <row r="199" spans="1:35"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row>
    <row r="200" spans="1:35"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row>
    <row r="201" spans="1:35"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row>
    <row r="202" spans="1:35"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row>
    <row r="203" spans="1:35"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row>
    <row r="204" spans="1:35"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row>
    <row r="205" spans="1:35"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row>
    <row r="206" spans="1:35"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row>
    <row r="207" spans="1:35"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row>
    <row r="208" spans="1:35"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row>
    <row r="209" spans="1:35"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row>
    <row r="210" spans="1:35"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row>
    <row r="211" spans="1:35"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row>
    <row r="212" spans="1:35"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row>
    <row r="213" spans="1:35"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row>
    <row r="214" spans="1:35"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row>
    <row r="215" spans="1:35"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row>
    <row r="216" spans="1:35"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row>
    <row r="217" spans="1:35"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row>
    <row r="218" spans="1:35"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row>
    <row r="219" spans="1:35"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row>
    <row r="220" spans="1:35"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row>
    <row r="221" spans="1:35"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row>
    <row r="222" spans="1:35"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row>
    <row r="223" spans="1:35"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row>
    <row r="224" spans="1:35"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row>
    <row r="225" spans="1:35"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row>
    <row r="226" spans="1:35"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row>
    <row r="227" spans="1:35"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row>
    <row r="228" spans="1:35"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row>
    <row r="229" spans="1:35"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row>
    <row r="230" spans="1:35"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row>
    <row r="231" spans="1:35"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row>
    <row r="232" spans="1:35"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row>
    <row r="233" spans="1:35"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row>
    <row r="234" spans="1:35"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row>
    <row r="235" spans="1:35"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row>
    <row r="236" spans="1:35"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row>
    <row r="237" spans="1:35"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row>
    <row r="238" spans="1:35"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row>
    <row r="239" spans="1:35"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row>
    <row r="240" spans="1:35"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row>
    <row r="241" spans="1:35"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row>
    <row r="242" spans="1:35"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row>
    <row r="243" spans="1:35"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row>
    <row r="244" spans="1:35"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row>
    <row r="245" spans="1:35"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row>
    <row r="246" spans="1:35"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row>
    <row r="247" spans="1:35"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row>
    <row r="248" spans="1:35"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row>
    <row r="249" spans="1:35"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row>
    <row r="250" spans="1:35"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row>
    <row r="251" spans="1:35"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row>
    <row r="252" spans="1:35"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row>
    <row r="253" spans="1:35"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row>
    <row r="254" spans="1:35"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row>
    <row r="255" spans="1:35"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row>
    <row r="256" spans="1:35"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row>
    <row r="257" spans="1:35"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row>
    <row r="258" spans="1:35"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row>
    <row r="259" spans="1:35"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row>
    <row r="260" spans="1:35"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row>
    <row r="261" spans="1:35"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row>
    <row r="262" spans="1:35"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row>
    <row r="263" spans="1:35"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row>
    <row r="264" spans="1:35"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row>
    <row r="265" spans="1:35"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row>
    <row r="266" spans="1:35"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row>
    <row r="267" spans="1:35"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row>
    <row r="268" spans="1:35"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row>
    <row r="269" spans="1:35"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row>
    <row r="270" spans="1:35"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row>
    <row r="271" spans="1:35"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row>
    <row r="272" spans="1:35"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row>
    <row r="273" spans="1:35"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row>
    <row r="274" spans="1:35"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row>
    <row r="275" spans="1:35"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row>
    <row r="276" spans="1:35"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row>
    <row r="277" spans="1:35"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row>
    <row r="278" spans="1:35"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row>
    <row r="279" spans="1:35"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row>
    <row r="280" spans="1:35"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row>
    <row r="281" spans="1:35"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row>
    <row r="282" spans="1:35"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row>
    <row r="283" spans="1:35"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row>
    <row r="284" spans="1:35"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row>
    <row r="285" spans="1:35"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row>
    <row r="286" spans="1:35"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row>
    <row r="287" spans="1:35"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row>
    <row r="288" spans="1:35"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row>
    <row r="289" spans="1:35"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row>
    <row r="290" spans="1:35"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row>
    <row r="291" spans="1:35"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row>
    <row r="292" spans="1:35"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row>
    <row r="293" spans="1:35"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row>
    <row r="294" spans="1:35"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row>
    <row r="295" spans="1:35"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row>
    <row r="296" spans="1:35"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row>
    <row r="297" spans="1:35"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row>
    <row r="298" spans="1:35"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row>
    <row r="299" spans="1:35"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row>
    <row r="300" spans="1:35"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row>
    <row r="301" spans="1:35"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row>
    <row r="302" spans="1:35"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row>
    <row r="303" spans="1:35"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row>
    <row r="304" spans="1:35"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row>
    <row r="305" spans="1:35"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row>
    <row r="306" spans="1:35"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row>
    <row r="307" spans="1:35"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row>
    <row r="308" spans="1:35"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row>
    <row r="309" spans="1:35"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row>
    <row r="310" spans="1:35"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row>
    <row r="311" spans="1:35"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row>
    <row r="312" spans="1:35"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row>
    <row r="313" spans="1:35"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row>
    <row r="314" spans="1:35"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row>
    <row r="315" spans="1:35"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row>
    <row r="316" spans="1:35"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row>
    <row r="317" spans="1:35"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row>
    <row r="318" spans="1:35"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row>
    <row r="319" spans="1:35"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row>
    <row r="320" spans="1:35"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row>
    <row r="321" spans="1:35"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row>
    <row r="322" spans="1:35"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row>
    <row r="323" spans="1:35"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row>
    <row r="324" spans="1:35"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row>
    <row r="325" spans="1:35"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row>
    <row r="326" spans="1:35"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row>
    <row r="327" spans="1:35"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row>
    <row r="328" spans="1:35"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row>
    <row r="329" spans="1:35"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row>
    <row r="330" spans="1:35"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row>
    <row r="331" spans="1:35"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row>
    <row r="332" spans="1:35"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row>
    <row r="333" spans="1:35"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row>
    <row r="334" spans="1:35"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row>
    <row r="335" spans="1:35"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row>
    <row r="336" spans="1:35"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row>
    <row r="337" spans="1:35"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row>
    <row r="338" spans="1:35"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row>
    <row r="339" spans="1:35"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row>
    <row r="340" spans="1:35"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row>
    <row r="341" spans="1:35"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row>
    <row r="342" spans="1:35"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row>
    <row r="343" spans="1:35"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row>
    <row r="344" spans="1:35"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row>
    <row r="345" spans="1:35"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row>
    <row r="346" spans="1:35"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row>
    <row r="347" spans="1:35"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row>
    <row r="348" spans="1:35"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row>
    <row r="349" spans="1:35"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row>
    <row r="350" spans="1:35"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row>
    <row r="351" spans="1:35"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row>
    <row r="352" spans="1:35"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row>
    <row r="353" spans="1:35"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row>
    <row r="354" spans="1:35"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row>
    <row r="355" spans="1:35"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row>
    <row r="356" spans="1:35"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row>
    <row r="357" spans="1:35"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row>
    <row r="358" spans="1:35"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row>
    <row r="359" spans="1:35"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row>
    <row r="360" spans="1:35"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row>
    <row r="361" spans="1:35"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row>
    <row r="362" spans="1:35"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row>
    <row r="363" spans="1:35"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row>
    <row r="364" spans="1:35"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row>
    <row r="365" spans="1:35"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row>
    <row r="366" spans="1:35"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row>
    <row r="367" spans="1:35"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row>
    <row r="368" spans="1:35"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row>
    <row r="369" spans="1:35"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row>
    <row r="370" spans="1:35"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row>
    <row r="371" spans="1:35"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row>
    <row r="372" spans="1:35"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row>
    <row r="373" spans="1:35"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row>
    <row r="374" spans="1:35"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row>
    <row r="375" spans="1:35"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row>
    <row r="376" spans="1:35"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row>
    <row r="377" spans="1:35"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row>
    <row r="378" spans="1:35"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row>
    <row r="379" spans="1:35"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row>
    <row r="380" spans="1:35"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row>
    <row r="381" spans="1:35"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row>
    <row r="382" spans="1:35"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row>
    <row r="383" spans="1:35"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row>
    <row r="384" spans="1:35"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row>
    <row r="385" spans="1:35"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row>
    <row r="386" spans="1:35"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row>
    <row r="387" spans="1:35"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row>
    <row r="388" spans="1:35"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row>
    <row r="389" spans="1:35"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row>
    <row r="390" spans="1:35"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row>
    <row r="391" spans="1:35"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row>
    <row r="392" spans="1:35"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row>
    <row r="393" spans="1:35"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row>
    <row r="394" spans="1:35"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row>
    <row r="395" spans="1:35"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row>
    <row r="396" spans="1:35"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row>
    <row r="397" spans="1:35"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row>
    <row r="398" spans="1:35"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row>
    <row r="399" spans="1:35"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row>
    <row r="400" spans="1:35"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row>
    <row r="401" spans="1:35"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row>
    <row r="402" spans="1:35"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row>
    <row r="403" spans="1:35"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row>
    <row r="404" spans="1:35"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row>
    <row r="405" spans="1:35"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row>
    <row r="406" spans="1:35"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row>
    <row r="407" spans="1:35"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row>
    <row r="408" spans="1:35"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row>
    <row r="409" spans="1:35"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row>
    <row r="410" spans="1:35"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row>
    <row r="411" spans="1:35"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row>
    <row r="412" spans="1:35"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row>
    <row r="413" spans="1:35"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row>
    <row r="414" spans="1:35"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row>
    <row r="415" spans="1:35"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row>
    <row r="416" spans="1:35"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row>
    <row r="417" spans="1:35"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row>
    <row r="418" spans="1:35"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row>
    <row r="419" spans="1:35"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row>
    <row r="420" spans="1:35"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row>
    <row r="421" spans="1:35"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row>
    <row r="422" spans="1:35"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row>
    <row r="423" spans="1:35"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row>
    <row r="424" spans="1:35"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row>
    <row r="425" spans="1:35"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row>
    <row r="426" spans="1:35"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row>
    <row r="427" spans="1:35"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row>
    <row r="428" spans="1:35"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row>
    <row r="429" spans="1:35"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row>
    <row r="430" spans="1:35"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row>
    <row r="431" spans="1:35"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row>
    <row r="432" spans="1:35"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row>
    <row r="433" spans="1:35"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row>
    <row r="434" spans="1:35"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row>
    <row r="435" spans="1:35"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row>
    <row r="436" spans="1:35"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row>
    <row r="437" spans="1:35"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row>
    <row r="438" spans="1:35"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row>
    <row r="439" spans="1:35"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row>
    <row r="440" spans="1:35"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row>
    <row r="441" spans="1:35"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row>
    <row r="442" spans="1:35"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row>
    <row r="443" spans="1:35"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row>
    <row r="444" spans="1:35"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row>
    <row r="445" spans="1:35"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row>
    <row r="446" spans="1:35"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row>
    <row r="447" spans="1:35"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row>
    <row r="448" spans="1:35"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row>
    <row r="449" spans="1:35"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row>
    <row r="450" spans="1:35"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row>
    <row r="451" spans="1:35"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row>
    <row r="452" spans="1:35"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row>
    <row r="453" spans="1:35"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row>
    <row r="454" spans="1:35"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row>
    <row r="455" spans="1:35"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row>
    <row r="456" spans="1:35"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row>
    <row r="457" spans="1:35"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row>
    <row r="458" spans="1:35"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row>
    <row r="459" spans="1:35"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row>
    <row r="460" spans="1:35"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row>
    <row r="461" spans="1:35"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row>
    <row r="462" spans="1:35"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row>
    <row r="463" spans="1:35"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row>
    <row r="464" spans="1:35"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row>
    <row r="465" spans="1:35"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row>
    <row r="466" spans="1:35"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row>
    <row r="467" spans="1:35"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row>
    <row r="468" spans="1:35"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row>
    <row r="469" spans="1:35"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row>
    <row r="470" spans="1:35"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row>
    <row r="471" spans="1:35"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row>
    <row r="472" spans="1:35"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row>
    <row r="473" spans="1:35"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row>
    <row r="474" spans="1:35"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row>
    <row r="475" spans="1:35"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row>
    <row r="476" spans="1:35"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row>
    <row r="477" spans="1:35"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row>
    <row r="478" spans="1:35"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row>
    <row r="479" spans="1:35"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row>
    <row r="480" spans="1:35"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row>
    <row r="481" spans="1:35"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row>
    <row r="482" spans="1:35"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row>
    <row r="483" spans="1:35"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row>
    <row r="484" spans="1:35"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row>
    <row r="485" spans="1:35"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row>
    <row r="486" spans="1:35"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row>
    <row r="487" spans="1:35"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row>
    <row r="488" spans="1:35"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row>
    <row r="489" spans="1:35"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row>
    <row r="490" spans="1:35"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row>
    <row r="491" spans="1:35"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row>
    <row r="492" spans="1:35"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row>
    <row r="493" spans="1:35"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row>
    <row r="494" spans="1:35"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row>
    <row r="495" spans="1:35"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row>
    <row r="496" spans="1:35"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row>
    <row r="497" spans="1:35"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row>
    <row r="498" spans="1:35"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row>
    <row r="499" spans="1:35"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row>
    <row r="500" spans="1:35"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row>
    <row r="501" spans="1:35"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row>
    <row r="502" spans="1:35"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row>
    <row r="503" spans="1:35"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row>
    <row r="504" spans="1:35"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row>
    <row r="505" spans="1:35"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row>
    <row r="506" spans="1:35"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row>
    <row r="507" spans="1:35"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row>
    <row r="508" spans="1:35"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row>
    <row r="509" spans="1:35"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row>
    <row r="510" spans="1:35"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row>
    <row r="511" spans="1:35"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row>
    <row r="512" spans="1:35"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row>
    <row r="513" spans="1:35"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row>
    <row r="514" spans="1:35"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row>
    <row r="515" spans="1:35"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row>
    <row r="516" spans="1:35"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row>
    <row r="517" spans="1:35"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row>
    <row r="518" spans="1:35"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row>
    <row r="519" spans="1:35"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row>
    <row r="520" spans="1:35"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row>
    <row r="521" spans="1:35"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row>
    <row r="522" spans="1:35"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row>
    <row r="523" spans="1:35"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row>
    <row r="524" spans="1:35"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row>
    <row r="525" spans="1:35"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row>
    <row r="526" spans="1:35"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row>
    <row r="527" spans="1:35"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row>
    <row r="528" spans="1:35"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row>
    <row r="529" spans="1:35"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row>
    <row r="530" spans="1:35"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row>
    <row r="531" spans="1:35"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row>
    <row r="532" spans="1:35"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row>
    <row r="533" spans="1:35"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row>
    <row r="534" spans="1:35"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row>
    <row r="535" spans="1:35"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row>
    <row r="536" spans="1:35" ht="15.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row>
    <row r="537" spans="1:35" ht="15.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row>
    <row r="538" spans="1:35" ht="15.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row>
    <row r="539" spans="1:35" ht="15.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row>
    <row r="540" spans="1:35" ht="15.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row>
    <row r="541" spans="1:35" ht="15.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row>
    <row r="542" spans="1:35" ht="15.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row>
    <row r="543" spans="1:35" ht="15.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row>
    <row r="544" spans="1:35" ht="15.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row>
    <row r="545" spans="1:35" ht="15.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row>
    <row r="546" spans="1:35" ht="15.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row>
    <row r="547" spans="1:35" ht="15.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row>
    <row r="548" spans="1:35" ht="15.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row>
    <row r="549" spans="1:35" ht="15.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row>
    <row r="550" spans="1:35" ht="15.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row>
    <row r="551" spans="1:35" ht="15.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row>
    <row r="552" spans="1:35" ht="15.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row>
    <row r="553" spans="1:35" ht="15.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row>
    <row r="554" spans="1:35" ht="15.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row>
    <row r="555" spans="1:35" ht="15.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row>
    <row r="556" spans="1:35" ht="15.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row>
    <row r="557" spans="1:35" ht="15.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row>
    <row r="558" spans="1:35" ht="15.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row>
    <row r="559" spans="1:35" ht="15.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row>
    <row r="560" spans="1:35" ht="15.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row>
    <row r="561" spans="1:35" ht="15.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row>
    <row r="562" spans="1:35" ht="15.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row>
    <row r="563" spans="1:35" ht="15.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row>
    <row r="564" spans="1:35" ht="15.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row>
    <row r="565" spans="1:35" ht="15.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row>
    <row r="566" spans="1:35" ht="15.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row>
    <row r="567" spans="1:35" ht="15.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row>
    <row r="568" spans="1:35" ht="15.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row>
    <row r="569" spans="1:35" ht="15.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row>
    <row r="570" spans="1:35" ht="15.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row>
    <row r="571" spans="1:35" ht="15.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row>
    <row r="572" spans="1:35" ht="15.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row>
    <row r="573" spans="1:35" ht="15.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row>
    <row r="574" spans="1:35" ht="15.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row>
    <row r="575" spans="1:35" ht="15.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row>
    <row r="576" spans="1:35" ht="15.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row>
    <row r="577" spans="1:35" ht="15.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row>
    <row r="578" spans="1:35" ht="15.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row>
    <row r="579" spans="1:35" ht="15.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row>
    <row r="580" spans="1:35" ht="15.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row>
    <row r="581" spans="1:35" ht="15.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row>
    <row r="582" spans="1:35" ht="15.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row>
    <row r="583" spans="1:35" ht="15.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row>
    <row r="584" spans="1:35" ht="15.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row>
    <row r="585" spans="1:35" ht="15.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row>
    <row r="586" spans="1:35" ht="15.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row>
    <row r="587" spans="1:35" ht="15.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row>
    <row r="588" spans="1:35" ht="15.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row>
    <row r="589" spans="1:35" ht="15.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row>
    <row r="590" spans="1:35" ht="15.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row>
    <row r="591" spans="1:35" ht="15.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row>
    <row r="592" spans="1:35" ht="15.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row>
    <row r="593" spans="1:35" ht="15.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row>
    <row r="594" spans="1:35" ht="15.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row>
    <row r="595" spans="1:35" ht="15.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row>
    <row r="596" spans="1:35" ht="15.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row>
    <row r="597" spans="1:35" ht="15.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row>
    <row r="598" spans="1:35" ht="15.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row>
    <row r="599" spans="1:35" ht="15.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row>
    <row r="600" spans="1:35" ht="15.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row>
    <row r="601" spans="1:35" ht="15.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row>
    <row r="602" spans="1:35" ht="15.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row>
    <row r="603" spans="1:35" ht="15.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row>
    <row r="604" spans="1:35" ht="15.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row>
    <row r="605" spans="1:35" ht="15.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row>
    <row r="606" spans="1:35" ht="15.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row>
    <row r="607" spans="1:35" ht="15.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row>
    <row r="608" spans="1:35" ht="15.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row>
    <row r="609" spans="1:35" ht="15.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row>
    <row r="610" spans="1:35" ht="15.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row>
    <row r="611" spans="1:35" ht="15.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row>
    <row r="612" spans="1:35" ht="15.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row>
    <row r="613" spans="1:35" ht="15.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row>
    <row r="614" spans="1:35" ht="15.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row>
    <row r="615" spans="1:35" ht="15.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row>
    <row r="616" spans="1:35" ht="15.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row>
    <row r="617" spans="1:35" ht="15.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row>
    <row r="618" spans="1:35" ht="15.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row>
    <row r="619" spans="1:35" ht="15.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row>
    <row r="620" spans="1:35" ht="15.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row>
    <row r="621" spans="1:35" ht="15.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row>
    <row r="622" spans="1:35" ht="15.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row>
    <row r="623" spans="1:35" ht="15.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row>
    <row r="624" spans="1:35" ht="15.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row>
    <row r="625" spans="1:35" ht="15.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row>
    <row r="626" spans="1:35" ht="15.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row>
    <row r="627" spans="1:35" ht="15.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row>
    <row r="628" spans="1:35" ht="15.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row>
    <row r="629" spans="1:35" ht="15.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row>
    <row r="630" spans="1:35" ht="15.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row>
    <row r="631" spans="1:35" ht="15.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row>
    <row r="632" spans="1:35" ht="15.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row>
    <row r="633" spans="1:35" ht="15.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row>
    <row r="634" spans="1:35" ht="15.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row>
    <row r="635" spans="1:35" ht="15.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row>
    <row r="636" spans="1:35" ht="15.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row>
    <row r="637" spans="1:35" ht="15.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row>
    <row r="638" spans="1:35" ht="15.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row>
    <row r="639" spans="1:35" ht="15.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row>
    <row r="640" spans="1:35" ht="15.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row>
    <row r="641" spans="1:35" ht="15.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row>
    <row r="642" spans="1:35" ht="15.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row>
    <row r="643" spans="1:35" ht="15.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row>
    <row r="644" spans="1:35" ht="15.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row>
    <row r="645" spans="1:35" ht="15.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row>
    <row r="646" spans="1:35" ht="15.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row>
    <row r="647" spans="1:35" ht="15.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row>
    <row r="648" spans="1:35" ht="15.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row>
    <row r="649" spans="1:35" ht="15.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row>
    <row r="650" spans="1:35" ht="15.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row>
    <row r="651" spans="1:35" ht="15.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row>
    <row r="652" spans="1:35" ht="15.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row>
    <row r="653" spans="1:35" ht="15.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row>
    <row r="654" spans="1:35" ht="15.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row>
    <row r="655" spans="1:35" ht="15.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row>
    <row r="656" spans="1:35" ht="15.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row>
    <row r="657" spans="1:35" ht="15.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row>
    <row r="658" spans="1:35" ht="15.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row>
    <row r="659" spans="1:35" ht="15.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row>
    <row r="660" spans="1:35" ht="15.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row>
    <row r="661" spans="1:35" ht="15.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row>
    <row r="662" spans="1:35" ht="15.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row>
    <row r="663" spans="1:35" ht="15.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row>
    <row r="664" spans="1:35" ht="15.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row>
    <row r="665" spans="1:35" ht="15.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row>
    <row r="666" spans="1:35" ht="15.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row>
    <row r="667" spans="1:35" ht="15.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row>
    <row r="668" spans="1:35" ht="15.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row>
    <row r="669" spans="1:35" ht="15.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row>
    <row r="670" spans="1:35" ht="15.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row>
    <row r="671" spans="1:35" ht="15.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row>
    <row r="672" spans="1:35" ht="15.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row>
    <row r="673" spans="1:35" ht="15.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row>
    <row r="674" spans="1:35" ht="15.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row>
    <row r="675" spans="1:35" ht="15.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row>
    <row r="676" spans="1:35" ht="15.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row>
    <row r="677" spans="1:35" ht="15.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row>
    <row r="678" spans="1:35" ht="15.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row>
    <row r="679" spans="1:35" ht="15.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row>
    <row r="680" spans="1:35" ht="15.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row>
    <row r="681" spans="1:35" ht="15.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row>
    <row r="682" spans="1:35" ht="15.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row>
    <row r="683" spans="1:35" ht="15.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row>
    <row r="684" spans="1:35" ht="15.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row>
    <row r="685" spans="1:35" ht="15.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row>
    <row r="686" spans="1:35" ht="15.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row>
    <row r="687" spans="1:35" ht="15.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row>
    <row r="688" spans="1:35" ht="15.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row>
    <row r="689" spans="1:35" ht="15.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row>
    <row r="690" spans="1:35" ht="15.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row>
    <row r="691" spans="1:35" ht="15.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row>
    <row r="692" spans="1:35" ht="15.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row>
    <row r="693" spans="1:35" ht="15.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row>
    <row r="694" spans="1:35" ht="15.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row>
    <row r="695" spans="1:35" ht="15.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row>
    <row r="696" spans="1:35" ht="15.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row>
    <row r="697" spans="1:35" ht="15.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row>
    <row r="698" spans="1:35" ht="15.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row>
    <row r="699" spans="1:35" ht="15.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row>
    <row r="700" spans="1:35" ht="15.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row>
    <row r="701" spans="1:35" ht="15.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row>
    <row r="702" spans="1:35" ht="15.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row>
    <row r="703" spans="1:35" ht="15.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row>
    <row r="704" spans="1:35" ht="15.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row>
    <row r="705" spans="1:35" ht="15.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row>
    <row r="706" spans="1:35" ht="15.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row>
    <row r="707" spans="1:35" ht="15.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row>
    <row r="708" spans="1:35" ht="15.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row>
    <row r="709" spans="1:35" ht="15.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row>
    <row r="710" spans="1:35" ht="15.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row>
    <row r="711" spans="1:35" ht="15.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row>
    <row r="712" spans="1:35" ht="15.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row>
    <row r="713" spans="1:35" ht="15.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row>
    <row r="714" spans="1:35" ht="15.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row>
    <row r="715" spans="1:35" ht="15.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row>
    <row r="716" spans="1:35" ht="15.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row>
    <row r="717" spans="1:35" ht="15.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row>
    <row r="718" spans="1:35" ht="15.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row>
    <row r="719" spans="1:35" ht="15.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row>
    <row r="720" spans="1:35" ht="15.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row>
    <row r="721" spans="1:35" ht="15.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row>
    <row r="722" spans="1:35" ht="15.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row>
    <row r="723" spans="1:35" ht="15.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row>
    <row r="724" spans="1:35" ht="15.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row>
    <row r="725" spans="1:35" ht="15.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row>
    <row r="726" spans="1:35" ht="15.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row>
    <row r="727" spans="1:35" ht="15.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row>
    <row r="728" spans="1:35" ht="15.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row>
    <row r="729" spans="1:35" ht="15.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row>
    <row r="730" spans="1:35" ht="15.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row>
    <row r="731" spans="1:35" ht="15.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row>
    <row r="732" spans="1:35" ht="15.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row>
    <row r="733" spans="1:35" ht="15.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row>
    <row r="734" spans="1:35" ht="15.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row>
    <row r="735" spans="1:35" ht="15.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row>
    <row r="736" spans="1:35" ht="15.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row>
    <row r="737" spans="1:35" ht="15.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row>
    <row r="738" spans="1:35" ht="15.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row>
    <row r="739" spans="1:35" ht="15.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row>
    <row r="740" spans="1:35" ht="15.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row>
    <row r="741" spans="1:35" ht="15.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row>
    <row r="742" spans="1:35" ht="15.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row>
    <row r="743" spans="1:35" ht="15.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row>
    <row r="744" spans="1:35" ht="15.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row>
    <row r="745" spans="1:35" ht="15.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row>
    <row r="746" spans="1:35" ht="15.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row>
    <row r="747" spans="1:35" ht="15.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row>
    <row r="748" spans="1:35" ht="15.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row>
    <row r="749" spans="1:35" ht="15.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row>
    <row r="750" spans="1:35" ht="15.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row>
    <row r="751" spans="1:35" ht="15.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row>
    <row r="752" spans="1:35" ht="15.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row>
    <row r="753" spans="1:35" ht="15.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row>
    <row r="754" spans="1:35" ht="15.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row>
    <row r="755" spans="1:35" ht="15.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row>
    <row r="756" spans="1:35" ht="15.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row>
    <row r="757" spans="1:35" ht="15.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row>
    <row r="758" spans="1:35" ht="15.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row>
    <row r="759" spans="1:35" ht="15.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row>
    <row r="760" spans="1:35" ht="15.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row>
    <row r="761" spans="1:35" ht="15.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row>
    <row r="762" spans="1:35" ht="15.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row>
    <row r="763" spans="1:35" ht="15.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row>
    <row r="764" spans="1:35" ht="15.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row>
    <row r="765" spans="1:35" ht="15.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row>
    <row r="766" spans="1:35" ht="15.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row>
    <row r="767" spans="1:35" ht="15.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row>
    <row r="768" spans="1:35" ht="15.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row>
    <row r="769" spans="1:35" ht="15.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row>
    <row r="770" spans="1:35" ht="15.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row>
    <row r="771" spans="1:35" ht="15.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row>
    <row r="772" spans="1:35" ht="15.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row>
    <row r="773" spans="1:35" ht="15.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row>
    <row r="774" spans="1:35" ht="15.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row>
    <row r="775" spans="1:35" ht="15.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row>
    <row r="776" spans="1:35" ht="15.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row>
    <row r="777" spans="1:35" ht="15.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row>
    <row r="778" spans="1:35" ht="15.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row>
    <row r="779" spans="1:35" ht="15.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row>
    <row r="780" spans="1:35" ht="15.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row>
    <row r="781" spans="1:35" ht="15.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row>
    <row r="782" spans="1:35" ht="15.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row>
    <row r="783" spans="1:35" ht="15.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row>
    <row r="784" spans="1:35" ht="15.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row>
    <row r="785" spans="1:35" ht="15.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row>
    <row r="786" spans="1:35" ht="15.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row>
    <row r="787" spans="1:35" ht="15.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row>
    <row r="788" spans="1:35" ht="15.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row>
    <row r="789" spans="1:35" ht="15.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row>
    <row r="790" spans="1:35" ht="15.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row>
    <row r="791" spans="1:35" ht="15.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row>
    <row r="792" spans="1:35" ht="15.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row>
    <row r="793" spans="1:35" ht="15.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row>
    <row r="794" spans="1:35" ht="15.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row>
    <row r="795" spans="1:35" ht="15.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row>
    <row r="796" spans="1:35" ht="15.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row>
    <row r="797" spans="1:35" ht="15.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row>
    <row r="798" spans="1:35" ht="15.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row>
    <row r="799" spans="1:35" ht="15.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row>
    <row r="800" spans="1:35" ht="15.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row>
    <row r="801" spans="1:35" ht="15.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row>
    <row r="802" spans="1:35" ht="15.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row>
    <row r="803" spans="1:35" ht="15.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row>
    <row r="804" spans="1:35" ht="15.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row>
    <row r="805" spans="1:35" ht="15.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row>
    <row r="806" spans="1:35" ht="15.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row>
    <row r="807" spans="1:35" ht="15.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row>
    <row r="808" spans="1:35" ht="15.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row>
    <row r="809" spans="1:35" ht="15.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row>
    <row r="810" spans="1:35" ht="15.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row>
    <row r="811" spans="1:35" ht="15.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row>
    <row r="812" spans="1:35" ht="15.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row>
    <row r="813" spans="1:35" ht="15.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row>
    <row r="814" spans="1:35" ht="15.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row>
    <row r="815" spans="1:35" ht="15.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row>
    <row r="816" spans="1:35" ht="15.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row>
    <row r="817" spans="1:35" ht="15.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row>
    <row r="818" spans="1:35" ht="15.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row>
    <row r="819" spans="1:35" ht="15.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row>
    <row r="820" spans="1:35" ht="15.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row>
    <row r="821" spans="1:35" ht="15.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row>
    <row r="822" spans="1:35" ht="15.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row>
    <row r="823" spans="1:35" ht="15.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row>
    <row r="824" spans="1:35" ht="15.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row>
    <row r="825" spans="1:35" ht="15.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row>
    <row r="826" spans="1:35" ht="15.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row>
    <row r="827" spans="1:35" ht="15.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row>
    <row r="828" spans="1:35" ht="15.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row>
    <row r="829" spans="1:35" ht="15.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row>
    <row r="830" spans="1:35" ht="15.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row>
    <row r="831" spans="1:35" ht="15.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row>
    <row r="832" spans="1:35" ht="15.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row>
    <row r="833" spans="1:35" ht="15.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row>
    <row r="834" spans="1:35" ht="15.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row>
    <row r="835" spans="1:35" ht="15.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row>
    <row r="836" spans="1:35" ht="15.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row>
    <row r="837" spans="1:35" ht="15.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row>
    <row r="838" spans="1:35" ht="15.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row>
    <row r="839" spans="1:35" ht="15.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row>
    <row r="840" spans="1:35" ht="15.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row>
    <row r="841" spans="1:35" ht="15.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row>
    <row r="842" spans="1:35" ht="15.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row>
    <row r="843" spans="1:35" ht="15.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row>
    <row r="844" spans="1:35" ht="15.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row>
    <row r="845" spans="1:35" ht="15.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row>
    <row r="846" spans="1:35" ht="15.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row>
    <row r="847" spans="1:35" ht="15.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row>
    <row r="848" spans="1:35" ht="15.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row>
    <row r="849" spans="1:35" ht="15.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row>
    <row r="850" spans="1:35" ht="15.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row>
    <row r="851" spans="1:35" ht="15.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row>
    <row r="852" spans="1:35" ht="15.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row>
    <row r="853" spans="1:35" ht="15.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row>
    <row r="854" spans="1:35" ht="15.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row>
    <row r="855" spans="1:35" ht="15.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row>
    <row r="856" spans="1:35" ht="15.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row>
    <row r="857" spans="1:35" ht="15.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row>
    <row r="858" spans="1:35" ht="15.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row>
    <row r="859" spans="1:35" ht="15.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row>
    <row r="860" spans="1:35" ht="15.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row>
    <row r="861" spans="1:35" ht="15.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row>
    <row r="862" spans="1:35" ht="15.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row>
    <row r="863" spans="1:35" ht="15.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row>
    <row r="864" spans="1:35" ht="15.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row>
    <row r="865" spans="1:35" ht="15.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row>
    <row r="866" spans="1:35" ht="15.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row>
    <row r="867" spans="1:35" ht="15.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row>
    <row r="868" spans="1:35" ht="15.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row>
    <row r="869" spans="1:35" ht="15.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row>
    <row r="870" spans="1:35" ht="15.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row>
    <row r="871" spans="1:35" ht="15.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row>
    <row r="872" spans="1:35" ht="15.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row>
    <row r="873" spans="1:35" ht="15.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row>
    <row r="874" spans="1:35" ht="15.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row>
    <row r="875" spans="1:35" ht="15.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row>
    <row r="876" spans="1:35" ht="15.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row>
    <row r="877" spans="1:35" ht="15.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row>
    <row r="878" spans="1:35" ht="15.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row>
    <row r="879" spans="1:35" ht="15.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row>
    <row r="880" spans="1:35" ht="15.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row>
    <row r="881" spans="1:35" ht="15.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row>
    <row r="882" spans="1:35" ht="15.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row>
    <row r="883" spans="1:35" ht="15.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row>
    <row r="884" spans="1:35" ht="15.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row>
    <row r="885" spans="1:35" ht="15.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row>
    <row r="886" spans="1:35" ht="15.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row>
    <row r="887" spans="1:35" ht="15.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row>
    <row r="888" spans="1:35" ht="15.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row>
    <row r="889" spans="1:35" ht="15.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row>
    <row r="890" spans="1:35" ht="15.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row>
    <row r="891" spans="1:35" ht="15.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row>
    <row r="892" spans="1:35" ht="15.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row>
    <row r="893" spans="1:35" ht="15.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row>
    <row r="894" spans="1:35" ht="15.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row>
    <row r="895" spans="1:35" ht="15.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row>
    <row r="896" spans="1:35" ht="15.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row>
    <row r="897" spans="1:35" ht="15.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row>
    <row r="898" spans="1:35" ht="15.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row>
    <row r="899" spans="1:35" ht="15.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row>
    <row r="900" spans="1:35" ht="15.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row>
    <row r="901" spans="1:35" ht="15.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row>
    <row r="902" spans="1:35" ht="15.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row>
    <row r="903" spans="1:35" ht="15.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row>
    <row r="904" spans="1:35" ht="15.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row>
    <row r="905" spans="1:35" ht="15.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row>
    <row r="906" spans="1:35" ht="15.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row>
    <row r="907" spans="1:35" ht="15.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row>
    <row r="908" spans="1:35" ht="15.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row>
    <row r="909" spans="1:35" ht="15.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row>
    <row r="910" spans="1:35" ht="15.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row>
    <row r="911" spans="1:35" ht="15.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row>
    <row r="912" spans="1:35" ht="15.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row>
    <row r="913" spans="1:35" ht="15.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row>
    <row r="914" spans="1:35" ht="15.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row>
    <row r="915" spans="1:35" ht="15.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row>
    <row r="916" spans="1:35" ht="15.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row>
    <row r="917" spans="1:35" ht="15.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row>
    <row r="918" spans="1:35" ht="15.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row>
    <row r="919" spans="1:35" ht="15.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row>
    <row r="920" spans="1:35" ht="15.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row>
    <row r="921" spans="1:35" ht="15.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row>
    <row r="922" spans="1:35" ht="15.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row>
    <row r="923" spans="1:35" ht="15.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row>
    <row r="924" spans="1:35" ht="15.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row>
    <row r="925" spans="1:35" ht="15.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row>
    <row r="926" spans="1:35" ht="15.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row>
    <row r="927" spans="1:35" ht="15.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row>
    <row r="928" spans="1:35" ht="15.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row>
    <row r="929" spans="1:35" ht="15.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row>
    <row r="930" spans="1:35" ht="15.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row>
    <row r="931" spans="1:35" ht="15.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row>
    <row r="932" spans="1:35" ht="15.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row>
    <row r="933" spans="1:35" ht="15.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row>
    <row r="934" spans="1:35" ht="15.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row>
    <row r="935" spans="1:35" ht="15.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row>
    <row r="936" spans="1:35" ht="15.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row>
    <row r="937" spans="1:35" ht="15.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row>
    <row r="938" spans="1:35" ht="15.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row>
    <row r="939" spans="1:35" ht="15.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row>
    <row r="940" spans="1:35" ht="15.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row>
    <row r="941" spans="1:35" ht="15.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row>
    <row r="942" spans="1:35" ht="15.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row>
    <row r="943" spans="1:35" ht="15.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row>
    <row r="944" spans="1:35" ht="15.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row>
    <row r="945" spans="1:35" ht="15.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row>
    <row r="946" spans="1:35" ht="15.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row>
    <row r="947" spans="1:35" ht="15.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row>
    <row r="948" spans="1:35" ht="15.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row>
    <row r="949" spans="1:35" ht="15.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row>
    <row r="950" spans="1:35" ht="15.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row>
    <row r="951" spans="1:35" ht="15.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row>
    <row r="952" spans="1:35" ht="15.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row>
    <row r="953" spans="1:35" ht="15.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row>
    <row r="954" spans="1:35" ht="15.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row>
    <row r="955" spans="1:35" ht="15.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row>
    <row r="956" spans="1:35" ht="15.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row>
    <row r="957" spans="1:35" ht="15.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row>
    <row r="958" spans="1:35" ht="15.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row>
    <row r="959" spans="1:35" ht="15.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row>
    <row r="960" spans="1:35" ht="15.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row>
    <row r="961" spans="1:35" ht="15.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row>
    <row r="962" spans="1:35" ht="15.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row>
    <row r="963" spans="1:35" ht="15.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row>
    <row r="964" spans="1:35" ht="15.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row>
    <row r="965" spans="1:35" ht="15.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row>
    <row r="966" spans="1:35" ht="15.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row>
    <row r="967" spans="1:35" ht="15.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row>
    <row r="968" spans="1:35" ht="15.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row>
    <row r="969" spans="1:35" ht="15.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row>
    <row r="970" spans="1:35" ht="15.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row>
    <row r="971" spans="1:35" ht="15.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row>
    <row r="972" spans="1:35" ht="15.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row>
    <row r="973" spans="1:35" ht="15.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row>
    <row r="974" spans="1:35" ht="15.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row>
    <row r="975" spans="1:35" ht="15.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row>
    <row r="976" spans="1:35" ht="15.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row>
    <row r="977" spans="1:35" ht="15.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row>
    <row r="978" spans="1:35" ht="15.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row>
    <row r="979" spans="1:35" ht="15.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row>
    <row r="980" spans="1:35" ht="15.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row>
    <row r="981" spans="1:35" ht="15.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row>
    <row r="982" spans="1:35" ht="15.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row>
    <row r="983" spans="1:35" ht="15.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row>
    <row r="984" spans="1:35" ht="15.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row>
    <row r="985" spans="1:35" ht="15.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row>
    <row r="986" spans="1:35" ht="15.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row>
    <row r="987" spans="1:35" ht="15.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row>
    <row r="988" spans="1:35" ht="15.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row>
    <row r="989" spans="1:35" ht="15.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row>
    <row r="990" spans="1:35" ht="15.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row>
    <row r="991" spans="1:35" ht="15.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row>
    <row r="992" spans="1:35" ht="15.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row>
    <row r="993" spans="1:35" ht="15.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row>
    <row r="994" spans="1:35" ht="15.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row>
    <row r="995" spans="1:35" ht="15.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row>
    <row r="996" spans="1:35" ht="15.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row>
    <row r="997" spans="1:35" ht="15.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row>
    <row r="998" spans="1:35" ht="15.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row>
    <row r="999" spans="1:35" ht="15.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row>
    <row r="1000" spans="1:35" ht="15.7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row>
  </sheetData>
  <sheetProtection algorithmName="SHA-512" hashValue="HYn6I4mW3jxzg3Oqv7sdE5U/jnpJuxK5YxhXZYstXnSS1Xh7xsGP/8uosDxZf/H/OpmFreud0ee6Me2gbbUbtQ==" saltValue="A1Fn6M7P2+Nz14qKIrWzGA==" spinCount="100000" sheet="1" objects="1" scenarios="1"/>
  <dataValidations count="1">
    <dataValidation type="list" allowBlank="1" showErrorMessage="1" sqref="E13 V13 AF13" xr:uid="{00000000-0002-0000-0200-000001000000}">
      <formula1>$P$3:$P$7</formula1>
    </dataValidation>
  </dataValidations>
  <hyperlinks>
    <hyperlink ref="M2" location="'1.Explanation_and_contents'!A1" display="Table of contents" xr:uid="{00000000-0004-0000-0200-000000000000}"/>
    <hyperlink ref="S9" r:id="rId1" xr:uid="{00000000-0004-0000-0200-000001000000}"/>
  </hyperlinks>
  <pageMargins left="0.75" right="0.75" top="1" bottom="1" header="0" footer="0"/>
  <pageSetup paperSize="9" orientation="portrait"/>
  <drawing r:id="rId2"/>
  <extLst>
    <ext xmlns:x14="http://schemas.microsoft.com/office/spreadsheetml/2009/9/main" uri="{CCE6A557-97BC-4b89-ADB6-D9C93CAAB3DF}">
      <x14:dataValidations xmlns:xm="http://schemas.microsoft.com/office/excel/2006/main" count="1">
        <x14:dataValidation type="list" allowBlank="1" showErrorMessage="1" xr:uid="{AA3B21AD-6984-D74E-B0A8-60F5D88051BA}">
          <x14:formula1>
            <xm:f>Validation!$O$2:$O$4</xm:f>
          </x14:formula1>
          <xm:sqref>C6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A1000"/>
  <sheetViews>
    <sheetView workbookViewId="0">
      <selection activeCell="E11" sqref="E11"/>
    </sheetView>
  </sheetViews>
  <sheetFormatPr baseColWidth="10" defaultColWidth="11.28515625" defaultRowHeight="15" customHeight="1" x14ac:dyDescent="0.2"/>
  <cols>
    <col min="1" max="1" width="3.42578125" style="39" customWidth="1"/>
    <col min="2" max="2" width="17.5703125" style="39" customWidth="1"/>
    <col min="3" max="3" width="17.42578125" style="39" customWidth="1"/>
    <col min="4" max="4" width="18.7109375" style="39" customWidth="1"/>
    <col min="5" max="5" width="20.7109375" style="39" bestFit="1" customWidth="1"/>
    <col min="6" max="7" width="16.28515625" style="39" customWidth="1"/>
    <col min="8" max="8" width="18.140625" style="39" bestFit="1" customWidth="1"/>
    <col min="9" max="10" width="19.140625" style="39" bestFit="1" customWidth="1"/>
    <col min="11" max="11" width="17.7109375" style="39" bestFit="1" customWidth="1"/>
    <col min="12" max="12" width="18.7109375" style="39" bestFit="1" customWidth="1"/>
    <col min="13" max="13" width="11" style="39" hidden="1" customWidth="1"/>
    <col min="14" max="39" width="10.5703125" style="39" hidden="1" customWidth="1"/>
    <col min="40" max="41" width="11.28515625" style="39" hidden="1" customWidth="1"/>
    <col min="42" max="53" width="11.28515625" style="39" customWidth="1"/>
    <col min="54" max="16384" width="11.28515625" style="39"/>
  </cols>
  <sheetData>
    <row r="1" spans="1:53" ht="15.75"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row>
    <row r="2" spans="1:53" ht="15.75" customHeight="1" x14ac:dyDescent="0.2">
      <c r="A2" s="1"/>
      <c r="B2" s="1"/>
      <c r="C2" s="1"/>
      <c r="D2" s="1"/>
      <c r="E2" s="1"/>
      <c r="F2" s="1"/>
      <c r="G2" s="1"/>
      <c r="H2" s="3"/>
      <c r="I2" s="4"/>
      <c r="J2" s="1"/>
      <c r="K2" s="1"/>
      <c r="L2" s="16" t="s">
        <v>18</v>
      </c>
      <c r="M2" s="1"/>
      <c r="N2" s="1"/>
      <c r="O2" s="1"/>
      <c r="P2" s="1"/>
      <c r="Q2" s="1"/>
      <c r="R2" s="1"/>
      <c r="S2" s="1"/>
      <c r="T2" s="1"/>
      <c r="U2" s="1"/>
      <c r="V2" s="1"/>
      <c r="W2" s="1"/>
      <c r="X2" s="1"/>
      <c r="Y2" s="1"/>
      <c r="Z2" s="1"/>
      <c r="AA2" s="1"/>
      <c r="AB2" s="1"/>
      <c r="AC2" s="1"/>
      <c r="AD2" s="1"/>
      <c r="AE2" s="1"/>
      <c r="AF2" s="1"/>
      <c r="AG2" s="1"/>
      <c r="AH2" s="1"/>
      <c r="AI2" s="1"/>
      <c r="AJ2" s="1"/>
      <c r="AK2" s="1"/>
      <c r="AL2" s="1"/>
      <c r="AM2" s="1"/>
    </row>
    <row r="3" spans="1:53" ht="15.75" customHeight="1" x14ac:dyDescent="0.2">
      <c r="A3" s="1"/>
      <c r="B3" s="1"/>
      <c r="C3" s="1"/>
      <c r="D3" s="1"/>
      <c r="E3" s="1"/>
      <c r="F3" s="1"/>
      <c r="G3" s="1"/>
      <c r="H3" s="5"/>
      <c r="I3" s="6"/>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row>
    <row r="4" spans="1:53" ht="15.75" customHeight="1" x14ac:dyDescent="0.2">
      <c r="A4" s="1"/>
      <c r="B4" s="1"/>
      <c r="C4" s="1"/>
      <c r="D4" s="1"/>
      <c r="E4" s="1"/>
      <c r="F4" s="1"/>
      <c r="G4" s="1"/>
      <c r="H4" s="7"/>
      <c r="I4" s="6"/>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row>
    <row r="5" spans="1:53" ht="15.75" customHeight="1" x14ac:dyDescent="0.2">
      <c r="A5" s="1"/>
      <c r="B5" s="1"/>
      <c r="C5" s="1"/>
      <c r="D5" s="1"/>
      <c r="E5" s="1"/>
      <c r="F5" s="1"/>
      <c r="G5" s="1"/>
      <c r="H5" s="7"/>
      <c r="I5" s="6"/>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row>
    <row r="6" spans="1:53" ht="15.75" customHeight="1" x14ac:dyDescent="0.2">
      <c r="A6" s="1"/>
      <c r="B6" s="4" t="s">
        <v>0</v>
      </c>
      <c r="C6" s="1"/>
      <c r="D6" s="44" t="s">
        <v>178</v>
      </c>
      <c r="E6" s="1"/>
      <c r="F6" s="1"/>
      <c r="G6" s="1"/>
      <c r="H6" s="1"/>
      <c r="I6" s="4"/>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row>
    <row r="7" spans="1:53" ht="30" x14ac:dyDescent="0.3">
      <c r="A7" s="1"/>
      <c r="B7" s="8" t="str" cm="1">
        <f t="array" ref="B7">_xlfn.IFS($D$6=Validation!$O$2,M7,$D$6=Validation!$O$3,AA7,$D$6=Validation!$O$4,AO7)</f>
        <v>Cruising time with different electric outboard motors</v>
      </c>
      <c r="C7" s="1"/>
      <c r="D7" s="1"/>
      <c r="E7" s="1"/>
      <c r="F7" s="1"/>
      <c r="G7" s="1"/>
      <c r="H7" s="1"/>
      <c r="I7" s="1"/>
      <c r="J7" s="1"/>
      <c r="K7" s="1"/>
      <c r="L7" s="1"/>
      <c r="M7" s="8" t="s">
        <v>136</v>
      </c>
      <c r="N7" s="1"/>
      <c r="O7" s="1"/>
      <c r="P7" s="1"/>
      <c r="Q7" s="1"/>
      <c r="R7" s="1"/>
      <c r="S7" s="1"/>
      <c r="T7" s="1"/>
      <c r="U7" s="1"/>
      <c r="V7" s="1"/>
      <c r="W7" s="1"/>
      <c r="X7" s="1"/>
      <c r="Y7" s="1"/>
      <c r="Z7" s="1"/>
      <c r="AA7" s="8" t="s">
        <v>137</v>
      </c>
      <c r="AB7" s="1"/>
      <c r="AC7" s="1"/>
      <c r="AD7" s="1"/>
      <c r="AE7" s="1"/>
      <c r="AF7" s="1"/>
      <c r="AG7" s="1"/>
      <c r="AH7" s="1"/>
      <c r="AI7" s="1"/>
      <c r="AJ7" s="1"/>
      <c r="AK7" s="1"/>
      <c r="AL7" s="1"/>
      <c r="AM7" s="1"/>
      <c r="AO7" s="48" t="s">
        <v>254</v>
      </c>
      <c r="AP7" s="49"/>
      <c r="AQ7" s="49"/>
      <c r="AR7" s="49"/>
      <c r="AS7" s="49"/>
      <c r="AT7" s="49"/>
      <c r="AU7" s="49"/>
      <c r="AV7" s="49"/>
      <c r="AW7" s="1"/>
      <c r="AX7" s="1"/>
      <c r="AY7" s="1"/>
      <c r="AZ7" s="1"/>
      <c r="BA7" s="1"/>
    </row>
    <row r="8" spans="1:53" ht="15.75" customHeight="1" x14ac:dyDescent="0.2">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O8" s="49"/>
      <c r="AP8" s="49"/>
      <c r="AQ8" s="49"/>
      <c r="AR8" s="49"/>
      <c r="AS8" s="49"/>
      <c r="AT8" s="49"/>
      <c r="AU8" s="49"/>
      <c r="AV8" s="49"/>
      <c r="AW8" s="1"/>
      <c r="AX8" s="1"/>
      <c r="AY8" s="1"/>
      <c r="AZ8" s="1"/>
      <c r="BA8" s="1"/>
    </row>
    <row r="9" spans="1:53" ht="15.75" customHeight="1" x14ac:dyDescent="0.2">
      <c r="A9" s="1"/>
      <c r="B9" s="16"/>
      <c r="C9" s="1"/>
      <c r="D9" s="1"/>
      <c r="E9" s="1"/>
      <c r="F9" s="1"/>
      <c r="G9" s="1"/>
      <c r="H9" s="1"/>
      <c r="I9" s="1"/>
      <c r="J9" s="1"/>
      <c r="K9" s="1"/>
      <c r="L9" s="1"/>
      <c r="M9" s="16"/>
      <c r="N9" s="1"/>
      <c r="O9" s="1"/>
      <c r="P9" s="1"/>
      <c r="Q9" s="1"/>
      <c r="R9" s="1"/>
      <c r="S9" s="1"/>
      <c r="T9" s="1"/>
      <c r="U9" s="1"/>
      <c r="V9" s="1"/>
      <c r="W9" s="1"/>
      <c r="X9" s="1"/>
      <c r="Y9" s="1"/>
      <c r="Z9" s="1"/>
      <c r="AA9" s="16"/>
      <c r="AB9" s="1"/>
      <c r="AC9" s="1"/>
      <c r="AD9" s="1"/>
      <c r="AE9" s="1"/>
      <c r="AF9" s="1"/>
      <c r="AG9" s="1"/>
      <c r="AH9" s="1"/>
      <c r="AI9" s="1"/>
      <c r="AJ9" s="1"/>
      <c r="AK9" s="1"/>
      <c r="AL9" s="1"/>
      <c r="AM9" s="1"/>
      <c r="AO9" s="55"/>
      <c r="AP9" s="49"/>
      <c r="AQ9" s="49"/>
      <c r="AR9" s="49"/>
      <c r="AS9" s="49"/>
      <c r="AT9" s="49"/>
      <c r="AU9" s="49"/>
      <c r="AV9" s="49"/>
      <c r="AW9" s="1"/>
      <c r="AX9" s="1"/>
      <c r="AY9" s="1"/>
      <c r="AZ9" s="1"/>
      <c r="BA9" s="1"/>
    </row>
    <row r="10" spans="1:53" ht="15.75" customHeight="1" x14ac:dyDescent="0.2">
      <c r="A10" s="1"/>
      <c r="B10" s="4" t="str" cm="1">
        <f t="array" ref="B10">_xlfn.IFS($D$6=Validation!$O$2,M10,$D$6=Validation!$O$3,AA10,$D$6=Validation!$O$4,AO10)</f>
        <v>12 volt motors</v>
      </c>
      <c r="C10" s="1"/>
      <c r="D10" s="1"/>
      <c r="E10" s="1"/>
      <c r="F10" s="1"/>
      <c r="G10" s="1"/>
      <c r="H10" s="1"/>
      <c r="I10" s="1"/>
      <c r="J10" s="1"/>
      <c r="K10" s="1"/>
      <c r="L10" s="1"/>
      <c r="M10" s="4" t="s">
        <v>138</v>
      </c>
      <c r="N10" s="1"/>
      <c r="O10" s="1"/>
      <c r="P10" s="1"/>
      <c r="Q10" s="1"/>
      <c r="R10" s="1"/>
      <c r="S10" s="1"/>
      <c r="T10" s="1"/>
      <c r="U10" s="1"/>
      <c r="V10" s="1"/>
      <c r="W10" s="1"/>
      <c r="X10" s="1"/>
      <c r="Y10" s="1"/>
      <c r="Z10" s="1"/>
      <c r="AA10" s="4" t="s">
        <v>139</v>
      </c>
      <c r="AB10" s="1"/>
      <c r="AC10" s="1"/>
      <c r="AD10" s="1"/>
      <c r="AE10" s="1"/>
      <c r="AF10" s="1"/>
      <c r="AG10" s="1"/>
      <c r="AH10" s="1"/>
      <c r="AI10" s="1"/>
      <c r="AJ10" s="1"/>
      <c r="AK10" s="1"/>
      <c r="AL10" s="1"/>
      <c r="AM10" s="1"/>
      <c r="AO10" s="54" t="s">
        <v>245</v>
      </c>
      <c r="AP10" s="49"/>
      <c r="AQ10" s="49"/>
      <c r="AR10" s="49"/>
      <c r="AS10" s="49"/>
      <c r="AT10" s="49"/>
      <c r="AU10" s="49"/>
      <c r="AV10" s="49"/>
      <c r="AW10" s="1"/>
      <c r="AX10" s="1"/>
      <c r="AY10" s="1"/>
      <c r="AZ10" s="1"/>
      <c r="BA10" s="1"/>
    </row>
    <row r="11" spans="1:53" ht="15.75" customHeight="1" x14ac:dyDescent="0.2">
      <c r="A11" s="1"/>
      <c r="B11" s="4" t="str" cm="1">
        <f t="array" ref="B11">_xlfn.IFS($D$6=Validation!$O$2,M11,$D$6=Validation!$O$3,AA11,$D$6=Validation!$O$4,AO11)</f>
        <v>Choose your trolling motor/electric outboard motor</v>
      </c>
      <c r="C11" s="1"/>
      <c r="D11" s="1"/>
      <c r="E11" s="44" t="s">
        <v>172</v>
      </c>
      <c r="F11" s="1"/>
      <c r="G11" s="1"/>
      <c r="H11" s="1"/>
      <c r="I11" s="1"/>
      <c r="J11" s="1"/>
      <c r="K11" s="1"/>
      <c r="L11" s="1"/>
      <c r="M11" s="4" t="s">
        <v>141</v>
      </c>
      <c r="N11" s="1"/>
      <c r="O11" s="1"/>
      <c r="P11" s="57" t="s">
        <v>142</v>
      </c>
      <c r="Q11" s="1"/>
      <c r="R11" s="1"/>
      <c r="S11" s="1"/>
      <c r="T11" s="1"/>
      <c r="U11" s="1"/>
      <c r="V11" s="1"/>
      <c r="W11" s="1"/>
      <c r="X11" s="1"/>
      <c r="Y11" s="1"/>
      <c r="Z11" s="1"/>
      <c r="AA11" s="4" t="s">
        <v>143</v>
      </c>
      <c r="AB11" s="1"/>
      <c r="AC11" s="1"/>
      <c r="AD11" s="57" t="s">
        <v>142</v>
      </c>
      <c r="AE11" s="1"/>
      <c r="AF11" s="1"/>
      <c r="AG11" s="1"/>
      <c r="AH11" s="1"/>
      <c r="AI11" s="1"/>
      <c r="AJ11" s="1"/>
      <c r="AK11" s="1"/>
      <c r="AL11" s="1"/>
      <c r="AM11" s="1"/>
      <c r="AO11" s="54" t="s">
        <v>246</v>
      </c>
      <c r="AP11" s="49"/>
      <c r="AQ11" s="49"/>
      <c r="AR11" s="58" t="s">
        <v>169</v>
      </c>
      <c r="AS11" s="49"/>
      <c r="AT11" s="49"/>
      <c r="AU11" s="49"/>
      <c r="AV11" s="49"/>
      <c r="AW11" s="1"/>
      <c r="AX11" s="1"/>
      <c r="AY11" s="1"/>
      <c r="AZ11" s="1"/>
      <c r="BA11" s="1"/>
    </row>
    <row r="12" spans="1:53" ht="15.75" customHeight="1" x14ac:dyDescent="0.2">
      <c r="A12" s="1"/>
      <c r="B12" s="4"/>
      <c r="C12" s="1"/>
      <c r="D12" s="1"/>
      <c r="E12" s="1"/>
      <c r="F12" s="1"/>
      <c r="G12" s="1"/>
      <c r="H12" s="1"/>
      <c r="I12" s="1"/>
      <c r="J12" s="1"/>
      <c r="K12" s="1"/>
      <c r="L12" s="1"/>
      <c r="M12" s="4"/>
      <c r="N12" s="1"/>
      <c r="O12" s="1"/>
      <c r="P12" s="1"/>
      <c r="Q12" s="1"/>
      <c r="R12" s="1"/>
      <c r="S12" s="1"/>
      <c r="T12" s="1"/>
      <c r="U12" s="1"/>
      <c r="V12" s="1"/>
      <c r="W12" s="1"/>
      <c r="X12" s="1"/>
      <c r="Y12" s="1"/>
      <c r="Z12" s="1"/>
      <c r="AA12" s="4"/>
      <c r="AB12" s="1"/>
      <c r="AC12" s="1"/>
      <c r="AD12" s="1"/>
      <c r="AE12" s="1"/>
      <c r="AF12" s="1"/>
      <c r="AG12" s="1"/>
      <c r="AH12" s="1"/>
      <c r="AI12" s="1"/>
      <c r="AJ12" s="1"/>
      <c r="AK12" s="1"/>
      <c r="AL12" s="1"/>
      <c r="AM12" s="1"/>
      <c r="AO12" s="4"/>
      <c r="AP12" s="1"/>
      <c r="AQ12" s="1"/>
      <c r="AR12" s="1"/>
      <c r="AS12" s="1"/>
      <c r="AT12" s="1"/>
      <c r="AU12" s="1"/>
      <c r="AV12" s="1"/>
      <c r="AW12" s="1"/>
      <c r="AX12" s="1"/>
      <c r="AY12" s="1"/>
      <c r="AZ12" s="1"/>
      <c r="BA12" s="1"/>
    </row>
    <row r="13" spans="1:53" ht="15.75" customHeight="1" x14ac:dyDescent="0.2">
      <c r="A13" s="1"/>
      <c r="B13" s="33" t="str">
        <f>E11</f>
        <v>Minn Kota endura MAX 55</v>
      </c>
      <c r="C13" s="25"/>
      <c r="D13" s="33" t="s">
        <v>144</v>
      </c>
      <c r="E13" s="33" t="s">
        <v>145</v>
      </c>
      <c r="F13" s="33" t="s">
        <v>146</v>
      </c>
      <c r="G13" s="33" t="s">
        <v>147</v>
      </c>
      <c r="H13" s="33" t="s">
        <v>256</v>
      </c>
      <c r="I13" s="33" t="s">
        <v>257</v>
      </c>
      <c r="J13" s="33" t="s">
        <v>258</v>
      </c>
      <c r="K13" s="33" t="s">
        <v>148</v>
      </c>
      <c r="L13" s="33" t="s">
        <v>255</v>
      </c>
      <c r="M13" s="4"/>
      <c r="N13" s="1"/>
      <c r="O13" s="4"/>
      <c r="P13" s="4"/>
      <c r="Q13" s="4"/>
      <c r="R13" s="4"/>
      <c r="S13" s="4"/>
      <c r="T13" s="4"/>
      <c r="U13" s="4"/>
      <c r="V13" s="4"/>
      <c r="W13" s="4"/>
      <c r="X13" s="4"/>
      <c r="Y13" s="4"/>
      <c r="Z13" s="1"/>
      <c r="AA13" s="4"/>
      <c r="AB13" s="1"/>
      <c r="AC13" s="4"/>
      <c r="AD13" s="4"/>
      <c r="AE13" s="4"/>
      <c r="AF13" s="4"/>
      <c r="AG13" s="4"/>
      <c r="AH13" s="4"/>
      <c r="AI13" s="4"/>
      <c r="AJ13" s="4"/>
      <c r="AK13" s="4"/>
      <c r="AL13" s="4"/>
      <c r="AM13" s="4"/>
      <c r="AN13" s="42"/>
      <c r="AO13" s="4"/>
      <c r="AP13" s="1"/>
      <c r="AQ13" s="4"/>
      <c r="AR13" s="4"/>
      <c r="AS13" s="4"/>
      <c r="AT13" s="4"/>
      <c r="AU13" s="4"/>
      <c r="AV13" s="4"/>
      <c r="AW13" s="4"/>
      <c r="AX13" s="4"/>
      <c r="AY13" s="4"/>
      <c r="AZ13" s="4"/>
      <c r="BA13" s="4"/>
    </row>
    <row r="14" spans="1:53" ht="15.75" customHeight="1" x14ac:dyDescent="0.2">
      <c r="A14" s="1"/>
      <c r="B14" s="25"/>
      <c r="C14" s="25"/>
      <c r="D14" s="33" t="s">
        <v>68</v>
      </c>
      <c r="E14" s="34">
        <v>87</v>
      </c>
      <c r="F14" s="34">
        <v>199</v>
      </c>
      <c r="G14" s="34">
        <v>323</v>
      </c>
      <c r="H14" s="78">
        <v>960</v>
      </c>
      <c r="I14" s="78">
        <v>1340</v>
      </c>
      <c r="J14" s="78">
        <v>2690</v>
      </c>
      <c r="K14" s="78">
        <v>1002</v>
      </c>
      <c r="L14" s="78">
        <v>1540</v>
      </c>
      <c r="M14" s="1"/>
      <c r="N14" s="1"/>
      <c r="O14" s="4"/>
      <c r="P14" s="37"/>
      <c r="Q14" s="37"/>
      <c r="R14" s="37"/>
      <c r="S14" s="37"/>
      <c r="T14" s="37"/>
      <c r="U14" s="37"/>
      <c r="V14" s="37"/>
      <c r="W14" s="37"/>
      <c r="X14" s="37"/>
      <c r="Y14" s="37"/>
      <c r="Z14" s="1"/>
      <c r="AA14" s="1"/>
      <c r="AB14" s="1"/>
      <c r="AC14" s="4"/>
      <c r="AD14" s="37"/>
      <c r="AE14" s="37"/>
      <c r="AF14" s="37"/>
      <c r="AG14" s="37"/>
      <c r="AH14" s="37"/>
      <c r="AI14" s="37"/>
      <c r="AJ14" s="37"/>
      <c r="AK14" s="37"/>
      <c r="AL14" s="37"/>
      <c r="AM14" s="37"/>
      <c r="AN14" s="42"/>
      <c r="AO14" s="1"/>
      <c r="AP14" s="1"/>
      <c r="AQ14" s="4"/>
      <c r="AR14" s="37"/>
      <c r="AS14" s="37"/>
      <c r="AT14" s="37"/>
      <c r="AU14" s="37"/>
      <c r="AV14" s="37"/>
      <c r="AW14" s="37"/>
      <c r="AX14" s="37"/>
      <c r="AY14" s="37"/>
      <c r="AZ14" s="37"/>
      <c r="BA14" s="37"/>
    </row>
    <row r="15" spans="1:53" ht="15.75" customHeight="1" x14ac:dyDescent="0.2">
      <c r="A15" s="4"/>
      <c r="B15" s="33" t="str">
        <f>IFERROR(VLOOKUP('4.Runtime'!B13,Validation!B:M,2,FALSE),"")</f>
        <v>% on the Throttle</v>
      </c>
      <c r="C15" s="35" t="s">
        <v>44</v>
      </c>
      <c r="D15" s="33" t="s">
        <v>149</v>
      </c>
      <c r="E15" s="33" t="str">
        <f t="shared" ref="E15:L15" si="0">CONCATENATE("Runtime ",E13)</f>
        <v xml:space="preserve">Runtime 12V07 AV </v>
      </c>
      <c r="F15" s="33" t="str">
        <f t="shared" si="0"/>
        <v>Runtime 12V18 AV</v>
      </c>
      <c r="G15" s="33" t="str">
        <f t="shared" si="0"/>
        <v>Runtime 12V30 AV</v>
      </c>
      <c r="H15" s="33" t="str">
        <f t="shared" si="0"/>
        <v>Runtime Edge 12V75</v>
      </c>
      <c r="I15" s="33" t="str">
        <f t="shared" si="0"/>
        <v>Runtime Edge 12V105</v>
      </c>
      <c r="J15" s="33" t="str">
        <f t="shared" si="0"/>
        <v>Runtime Edge 12V210</v>
      </c>
      <c r="K15" s="33" t="str">
        <f t="shared" si="0"/>
        <v xml:space="preserve">Runtime 12V80 PRO </v>
      </c>
      <c r="L15" s="33" t="str">
        <f t="shared" si="0"/>
        <v xml:space="preserve">Runtime 12V120 PRO </v>
      </c>
      <c r="M15" s="4"/>
      <c r="N15" s="40"/>
      <c r="O15" s="4"/>
      <c r="P15" s="4"/>
      <c r="Q15" s="4"/>
      <c r="R15" s="4"/>
      <c r="S15" s="4"/>
      <c r="T15" s="4"/>
      <c r="U15" s="4"/>
      <c r="V15" s="4"/>
      <c r="W15" s="4"/>
      <c r="X15" s="4"/>
      <c r="Y15" s="4"/>
      <c r="Z15" s="4"/>
      <c r="AA15" s="4"/>
      <c r="AB15" s="40"/>
      <c r="AC15" s="4"/>
      <c r="AD15" s="4"/>
      <c r="AE15" s="4"/>
      <c r="AF15" s="4"/>
      <c r="AG15" s="4"/>
      <c r="AH15" s="4"/>
      <c r="AI15" s="4"/>
      <c r="AJ15" s="4"/>
      <c r="AK15" s="4"/>
      <c r="AL15" s="4"/>
      <c r="AM15" s="4"/>
      <c r="AN15" s="42"/>
      <c r="AO15" s="4"/>
      <c r="AP15" s="40"/>
      <c r="AQ15" s="4"/>
      <c r="AR15" s="4"/>
      <c r="AS15" s="4"/>
      <c r="AT15" s="4"/>
      <c r="AU15" s="4"/>
      <c r="AV15" s="4"/>
      <c r="AW15" s="4"/>
      <c r="AX15" s="4"/>
      <c r="AY15" s="4"/>
      <c r="AZ15" s="4"/>
      <c r="BA15" s="4"/>
    </row>
    <row r="16" spans="1:53" ht="15.75" customHeight="1" x14ac:dyDescent="0.2">
      <c r="A16" s="1"/>
      <c r="B16" s="25" t="str">
        <f>IF($B$15="% on the Throttle","20%","Gear 1")</f>
        <v>20%</v>
      </c>
      <c r="C16" s="28">
        <f>IFERROR(VLOOKUP($B$13,Validation!B:M,8,FALSE),"")</f>
        <v>2</v>
      </c>
      <c r="D16" s="34">
        <f>IFERROR(VLOOKUP($B$13,Validation!B:M,3,FALSE),"")</f>
        <v>24</v>
      </c>
      <c r="E16" s="36">
        <f>IFERROR(E$14/$D16,"")</f>
        <v>3.625</v>
      </c>
      <c r="F16" s="36">
        <f t="shared" ref="F16:L16" si="1">IFERROR(F$14/$D16,"")</f>
        <v>8.2916666666666661</v>
      </c>
      <c r="G16" s="36">
        <f t="shared" si="1"/>
        <v>13.458333333333334</v>
      </c>
      <c r="H16" s="36">
        <f t="shared" si="1"/>
        <v>40</v>
      </c>
      <c r="I16" s="36">
        <f t="shared" si="1"/>
        <v>55.833333333333336</v>
      </c>
      <c r="J16" s="36">
        <f t="shared" si="1"/>
        <v>112.08333333333333</v>
      </c>
      <c r="K16" s="36">
        <f t="shared" si="1"/>
        <v>41.75</v>
      </c>
      <c r="L16" s="36">
        <f t="shared" si="1"/>
        <v>64.166666666666671</v>
      </c>
      <c r="M16" s="1"/>
      <c r="N16" s="41"/>
      <c r="O16" s="37"/>
      <c r="P16" s="43"/>
      <c r="Q16" s="43"/>
      <c r="R16" s="43"/>
      <c r="S16" s="43"/>
      <c r="T16" s="43"/>
      <c r="U16" s="43"/>
      <c r="V16" s="43"/>
      <c r="W16" s="43"/>
      <c r="X16" s="43"/>
      <c r="Y16" s="43"/>
      <c r="Z16" s="1"/>
      <c r="AA16" s="1"/>
      <c r="AB16" s="41"/>
      <c r="AC16" s="37"/>
      <c r="AD16" s="43"/>
      <c r="AE16" s="43"/>
      <c r="AF16" s="43"/>
      <c r="AG16" s="43"/>
      <c r="AH16" s="43"/>
      <c r="AI16" s="43"/>
      <c r="AJ16" s="43"/>
      <c r="AK16" s="43"/>
      <c r="AL16" s="43"/>
      <c r="AM16" s="43"/>
      <c r="AN16" s="42"/>
      <c r="AO16" s="1"/>
      <c r="AP16" s="41"/>
      <c r="AQ16" s="37"/>
      <c r="AR16" s="43"/>
      <c r="AS16" s="43"/>
      <c r="AT16" s="43"/>
      <c r="AU16" s="43"/>
      <c r="AV16" s="43"/>
      <c r="AW16" s="43"/>
      <c r="AX16" s="43"/>
      <c r="AY16" s="43"/>
      <c r="AZ16" s="43"/>
      <c r="BA16" s="43"/>
    </row>
    <row r="17" spans="1:53" ht="15.75" customHeight="1" x14ac:dyDescent="0.2">
      <c r="A17" s="1"/>
      <c r="B17" s="25" t="str">
        <f>IF($B$15="% on the Throttle","40%","Gear 2")</f>
        <v>40%</v>
      </c>
      <c r="C17" s="28">
        <f>IFERROR(VLOOKUP($B$13,Validation!B:M,9,FALSE),"")</f>
        <v>7</v>
      </c>
      <c r="D17" s="34">
        <f>IFERROR(VLOOKUP($B$13,Validation!B:M,4,FALSE),"")</f>
        <v>84</v>
      </c>
      <c r="E17" s="36">
        <f t="shared" ref="E17:L17" si="2">IFERROR(E$14/$D17,"")</f>
        <v>1.0357142857142858</v>
      </c>
      <c r="F17" s="36">
        <f t="shared" si="2"/>
        <v>2.3690476190476191</v>
      </c>
      <c r="G17" s="36">
        <f t="shared" si="2"/>
        <v>3.8452380952380953</v>
      </c>
      <c r="H17" s="36">
        <f t="shared" si="2"/>
        <v>11.428571428571429</v>
      </c>
      <c r="I17" s="36">
        <f t="shared" si="2"/>
        <v>15.952380952380953</v>
      </c>
      <c r="J17" s="36">
        <f t="shared" si="2"/>
        <v>32.023809523809526</v>
      </c>
      <c r="K17" s="36">
        <f t="shared" si="2"/>
        <v>11.928571428571429</v>
      </c>
      <c r="L17" s="36">
        <f t="shared" si="2"/>
        <v>18.333333333333332</v>
      </c>
      <c r="M17" s="1"/>
      <c r="N17" s="41"/>
      <c r="O17" s="37"/>
      <c r="P17" s="43"/>
      <c r="Q17" s="43"/>
      <c r="R17" s="43"/>
      <c r="S17" s="43"/>
      <c r="T17" s="43"/>
      <c r="U17" s="43"/>
      <c r="V17" s="43"/>
      <c r="W17" s="43"/>
      <c r="X17" s="43"/>
      <c r="Y17" s="43"/>
      <c r="Z17" s="1"/>
      <c r="AA17" s="1"/>
      <c r="AB17" s="41"/>
      <c r="AC17" s="37"/>
      <c r="AD17" s="43"/>
      <c r="AE17" s="43"/>
      <c r="AF17" s="43"/>
      <c r="AG17" s="43"/>
      <c r="AH17" s="43"/>
      <c r="AI17" s="43"/>
      <c r="AJ17" s="43"/>
      <c r="AK17" s="43"/>
      <c r="AL17" s="43"/>
      <c r="AM17" s="43"/>
      <c r="AN17" s="42"/>
      <c r="AO17" s="1"/>
      <c r="AP17" s="41"/>
      <c r="AQ17" s="37"/>
      <c r="AR17" s="43"/>
      <c r="AS17" s="43"/>
      <c r="AT17" s="43"/>
      <c r="AU17" s="43"/>
      <c r="AV17" s="43"/>
      <c r="AW17" s="43"/>
      <c r="AX17" s="43"/>
      <c r="AY17" s="43"/>
      <c r="AZ17" s="43"/>
      <c r="BA17" s="43"/>
    </row>
    <row r="18" spans="1:53" ht="15.75" customHeight="1" x14ac:dyDescent="0.2">
      <c r="A18" s="1"/>
      <c r="B18" s="25" t="str">
        <f>IF($B$15="% on the Throttle","60%","Gear 3")</f>
        <v>60%</v>
      </c>
      <c r="C18" s="28">
        <f>IFERROR(VLOOKUP($B$13,Validation!B:M,10,FALSE),"")</f>
        <v>17</v>
      </c>
      <c r="D18" s="34">
        <f>IFERROR(VLOOKUP($B$13,Validation!B:M,5,FALSE),"")</f>
        <v>204</v>
      </c>
      <c r="E18" s="36">
        <f t="shared" ref="E18:L18" si="3">IFERROR(E$14/$D18,"")</f>
        <v>0.4264705882352941</v>
      </c>
      <c r="F18" s="36">
        <f t="shared" si="3"/>
        <v>0.97549019607843135</v>
      </c>
      <c r="G18" s="36">
        <f t="shared" si="3"/>
        <v>1.5833333333333333</v>
      </c>
      <c r="H18" s="36">
        <f t="shared" si="3"/>
        <v>4.7058823529411766</v>
      </c>
      <c r="I18" s="36">
        <f t="shared" si="3"/>
        <v>6.5686274509803919</v>
      </c>
      <c r="J18" s="36">
        <f t="shared" si="3"/>
        <v>13.186274509803921</v>
      </c>
      <c r="K18" s="36">
        <f t="shared" si="3"/>
        <v>4.9117647058823533</v>
      </c>
      <c r="L18" s="36">
        <f t="shared" si="3"/>
        <v>7.5490196078431371</v>
      </c>
      <c r="M18" s="1"/>
      <c r="N18" s="41"/>
      <c r="O18" s="37"/>
      <c r="P18" s="43"/>
      <c r="Q18" s="43"/>
      <c r="R18" s="43"/>
      <c r="S18" s="43"/>
      <c r="T18" s="43"/>
      <c r="U18" s="43"/>
      <c r="V18" s="43"/>
      <c r="W18" s="43"/>
      <c r="X18" s="43"/>
      <c r="Y18" s="43"/>
      <c r="Z18" s="1"/>
      <c r="AA18" s="1"/>
      <c r="AB18" s="41"/>
      <c r="AC18" s="37"/>
      <c r="AD18" s="43"/>
      <c r="AE18" s="43"/>
      <c r="AF18" s="43"/>
      <c r="AG18" s="43"/>
      <c r="AH18" s="43"/>
      <c r="AI18" s="43"/>
      <c r="AJ18" s="43"/>
      <c r="AK18" s="43"/>
      <c r="AL18" s="43"/>
      <c r="AM18" s="43"/>
      <c r="AN18" s="42"/>
      <c r="AO18" s="1"/>
      <c r="AP18" s="41"/>
      <c r="AQ18" s="37"/>
      <c r="AR18" s="43"/>
      <c r="AS18" s="43"/>
      <c r="AT18" s="43"/>
      <c r="AU18" s="43"/>
      <c r="AV18" s="43"/>
      <c r="AW18" s="43"/>
      <c r="AX18" s="43"/>
      <c r="AY18" s="43"/>
      <c r="AZ18" s="43"/>
      <c r="BA18" s="43"/>
    </row>
    <row r="19" spans="1:53" ht="15.75" customHeight="1" x14ac:dyDescent="0.2">
      <c r="A19" s="1"/>
      <c r="B19" s="25" t="str">
        <f>IF($B$15="% on the Throttle","80%","Gear 4")</f>
        <v>80%</v>
      </c>
      <c r="C19" s="28">
        <f>IFERROR(VLOOKUP($B$13,Validation!B:M,11,FALSE),"")</f>
        <v>33</v>
      </c>
      <c r="D19" s="34">
        <f>IFERROR(VLOOKUP($B$13,Validation!B:M,6,FALSE),"")</f>
        <v>396</v>
      </c>
      <c r="E19" s="36">
        <f t="shared" ref="E19:L19" si="4">IFERROR(E$14/$D19,"")</f>
        <v>0.2196969696969697</v>
      </c>
      <c r="F19" s="36">
        <f t="shared" si="4"/>
        <v>0.50252525252525249</v>
      </c>
      <c r="G19" s="36">
        <f t="shared" si="4"/>
        <v>0.81565656565656564</v>
      </c>
      <c r="H19" s="36">
        <f t="shared" si="4"/>
        <v>2.4242424242424243</v>
      </c>
      <c r="I19" s="36">
        <f t="shared" si="4"/>
        <v>3.3838383838383836</v>
      </c>
      <c r="J19" s="36">
        <f t="shared" si="4"/>
        <v>6.7929292929292933</v>
      </c>
      <c r="K19" s="36">
        <f t="shared" si="4"/>
        <v>2.5303030303030303</v>
      </c>
      <c r="L19" s="36">
        <f t="shared" si="4"/>
        <v>3.8888888888888888</v>
      </c>
      <c r="M19" s="1"/>
      <c r="N19" s="41"/>
      <c r="O19" s="37"/>
      <c r="P19" s="43"/>
      <c r="Q19" s="43"/>
      <c r="R19" s="43"/>
      <c r="S19" s="43"/>
      <c r="T19" s="43"/>
      <c r="U19" s="43"/>
      <c r="V19" s="43"/>
      <c r="W19" s="43"/>
      <c r="X19" s="43"/>
      <c r="Y19" s="43"/>
      <c r="Z19" s="1"/>
      <c r="AA19" s="1"/>
      <c r="AB19" s="41"/>
      <c r="AC19" s="37"/>
      <c r="AD19" s="43"/>
      <c r="AE19" s="43"/>
      <c r="AF19" s="43"/>
      <c r="AG19" s="43"/>
      <c r="AH19" s="43"/>
      <c r="AI19" s="43"/>
      <c r="AJ19" s="43"/>
      <c r="AK19" s="43"/>
      <c r="AL19" s="43"/>
      <c r="AM19" s="43"/>
      <c r="AN19" s="42"/>
      <c r="AO19" s="1"/>
      <c r="AP19" s="41"/>
      <c r="AQ19" s="37"/>
      <c r="AR19" s="43"/>
      <c r="AS19" s="43"/>
      <c r="AT19" s="43"/>
      <c r="AU19" s="43"/>
      <c r="AV19" s="43"/>
      <c r="AW19" s="43"/>
      <c r="AX19" s="43"/>
      <c r="AY19" s="43"/>
      <c r="AZ19" s="43"/>
      <c r="BA19" s="43"/>
    </row>
    <row r="20" spans="1:53" ht="15.75" customHeight="1" x14ac:dyDescent="0.2">
      <c r="A20" s="1"/>
      <c r="B20" s="25" t="str">
        <f>IF($B$15="% on the Throttle","100%","Gear 5")</f>
        <v>100%</v>
      </c>
      <c r="C20" s="28">
        <f>IFERROR(VLOOKUP($B$13,Validation!B:M,12,FALSE),"")</f>
        <v>46</v>
      </c>
      <c r="D20" s="34">
        <f>IFERROR(VLOOKUP($B$13,Validation!B:M,7,FALSE),"")</f>
        <v>552</v>
      </c>
      <c r="E20" s="36">
        <f t="shared" ref="E20:L20" si="5">IFERROR(E$14/$D20,"")</f>
        <v>0.15760869565217392</v>
      </c>
      <c r="F20" s="36">
        <f t="shared" si="5"/>
        <v>0.36050724637681159</v>
      </c>
      <c r="G20" s="36">
        <f t="shared" si="5"/>
        <v>0.58514492753623193</v>
      </c>
      <c r="H20" s="36">
        <f t="shared" si="5"/>
        <v>1.7391304347826086</v>
      </c>
      <c r="I20" s="36">
        <f t="shared" si="5"/>
        <v>2.4275362318840581</v>
      </c>
      <c r="J20" s="36">
        <f t="shared" si="5"/>
        <v>4.8731884057971016</v>
      </c>
      <c r="K20" s="36">
        <f t="shared" si="5"/>
        <v>1.8152173913043479</v>
      </c>
      <c r="L20" s="36">
        <f t="shared" si="5"/>
        <v>2.7898550724637681</v>
      </c>
      <c r="M20" s="1"/>
      <c r="N20" s="41"/>
      <c r="O20" s="37"/>
      <c r="P20" s="43"/>
      <c r="Q20" s="43"/>
      <c r="R20" s="43"/>
      <c r="S20" s="43"/>
      <c r="T20" s="43"/>
      <c r="U20" s="43"/>
      <c r="V20" s="43"/>
      <c r="W20" s="43"/>
      <c r="X20" s="43"/>
      <c r="Y20" s="43"/>
      <c r="Z20" s="1"/>
      <c r="AA20" s="1"/>
      <c r="AB20" s="41"/>
      <c r="AC20" s="37"/>
      <c r="AD20" s="43"/>
      <c r="AE20" s="43"/>
      <c r="AF20" s="43"/>
      <c r="AG20" s="43"/>
      <c r="AH20" s="43"/>
      <c r="AI20" s="43"/>
      <c r="AJ20" s="43"/>
      <c r="AK20" s="43"/>
      <c r="AL20" s="43"/>
      <c r="AM20" s="43"/>
      <c r="AN20" s="42"/>
      <c r="AO20" s="1"/>
      <c r="AP20" s="41"/>
      <c r="AQ20" s="37"/>
      <c r="AR20" s="43"/>
      <c r="AS20" s="43"/>
      <c r="AT20" s="43"/>
      <c r="AU20" s="43"/>
      <c r="AV20" s="43"/>
      <c r="AW20" s="43"/>
      <c r="AX20" s="43"/>
      <c r="AY20" s="43"/>
      <c r="AZ20" s="43"/>
      <c r="BA20" s="43"/>
    </row>
    <row r="21" spans="1:53" ht="15.75" customHeight="1" x14ac:dyDescent="0.2">
      <c r="A21" s="1"/>
      <c r="B21" s="1"/>
      <c r="C21" s="37"/>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row>
    <row r="22" spans="1:53" ht="15.75" customHeight="1" x14ac:dyDescent="0.2">
      <c r="A22" s="1"/>
      <c r="B22" s="1"/>
      <c r="C22" s="37"/>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row>
    <row r="23" spans="1:53" ht="15.75" customHeight="1" x14ac:dyDescent="0.2">
      <c r="A23" s="1"/>
      <c r="B23" s="1"/>
      <c r="C23" s="37"/>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row>
    <row r="24" spans="1:53" ht="15.75"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row>
    <row r="25" spans="1:53" ht="15.75" customHeight="1" x14ac:dyDescent="0.2">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row>
    <row r="26" spans="1:53" ht="15.75" customHeight="1" x14ac:dyDescent="0.2">
      <c r="A26" s="1"/>
      <c r="B26" s="4"/>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row>
    <row r="27" spans="1:53" ht="15.7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row>
    <row r="28" spans="1:53" ht="15.7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row>
    <row r="29" spans="1:53" ht="15.7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row>
    <row r="30" spans="1:53" ht="15.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row>
    <row r="31" spans="1:53" ht="15.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row>
    <row r="32" spans="1:53" ht="15.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row>
    <row r="33" spans="1:39" ht="15.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row>
    <row r="34" spans="1:39" ht="15.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row>
    <row r="35" spans="1:39" ht="15.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row>
    <row r="36" spans="1:39" ht="15.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row>
    <row r="37" spans="1:39" ht="15.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row>
    <row r="38" spans="1:39" ht="15.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row>
    <row r="39" spans="1:39" ht="15.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row>
    <row r="40" spans="1:39" ht="15.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row>
    <row r="41" spans="1:39" ht="15.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row>
    <row r="42" spans="1:39" ht="15.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row>
    <row r="43" spans="1:39" ht="15.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row>
    <row r="44" spans="1:39" ht="15.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row>
    <row r="45" spans="1:39" ht="15.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row>
    <row r="46" spans="1:39" ht="15.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row>
    <row r="47" spans="1:39" ht="15.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row>
    <row r="48" spans="1:39" ht="15.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row>
    <row r="49" spans="1:39" ht="15.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row>
    <row r="50" spans="1:39"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row>
    <row r="51" spans="1:39"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row>
    <row r="52" spans="1:39"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row>
    <row r="53" spans="1:39"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row>
    <row r="54" spans="1:39"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row>
    <row r="55" spans="1:39"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row>
    <row r="56" spans="1:39"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row>
    <row r="57" spans="1:39"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row>
    <row r="58" spans="1:39"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row>
    <row r="59" spans="1:39"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row>
    <row r="60" spans="1:39"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row>
    <row r="61" spans="1:39"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row>
    <row r="62" spans="1:39"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row>
    <row r="63" spans="1:39"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row>
    <row r="64" spans="1:39"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row>
    <row r="65" spans="1:39"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row>
    <row r="66" spans="1:39"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row>
    <row r="67" spans="1:39"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row>
    <row r="68" spans="1:39"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row>
    <row r="69" spans="1:39"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row>
    <row r="70" spans="1:39"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row>
    <row r="71" spans="1:39"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row>
    <row r="72" spans="1:39"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row>
    <row r="73" spans="1:39"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row>
    <row r="74" spans="1:39"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row>
    <row r="75" spans="1:39"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row>
    <row r="76" spans="1:39"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row>
    <row r="77" spans="1:39"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row>
    <row r="78" spans="1:39"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row>
    <row r="79" spans="1:39"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row>
    <row r="80" spans="1:39"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row>
    <row r="81" spans="1:39"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row>
    <row r="82" spans="1:39"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row>
    <row r="83" spans="1:39"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row>
    <row r="84" spans="1:39"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row>
    <row r="85" spans="1:39"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row>
    <row r="86" spans="1:39"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row>
    <row r="87" spans="1:39"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row>
    <row r="88" spans="1:39"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row>
    <row r="89" spans="1:39"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row>
    <row r="90" spans="1:39"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row>
    <row r="91" spans="1:39"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row>
    <row r="92" spans="1:39"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row>
    <row r="93" spans="1:39"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row>
    <row r="94" spans="1:39"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row>
    <row r="95" spans="1:39"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row>
    <row r="96" spans="1:39"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row>
    <row r="97" spans="1:39"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row>
    <row r="98" spans="1:39"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row>
    <row r="99" spans="1:39"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row>
    <row r="100" spans="1:39"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row>
    <row r="101" spans="1:39"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row>
    <row r="102" spans="1:39"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row>
    <row r="103" spans="1:39"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row>
    <row r="104" spans="1:39"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row>
    <row r="105" spans="1:39"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row>
    <row r="106" spans="1:39"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row>
    <row r="107" spans="1:39"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row>
    <row r="108" spans="1:39"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row>
    <row r="109" spans="1:39"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row>
    <row r="110" spans="1:39"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row>
    <row r="111" spans="1:39"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row>
    <row r="112" spans="1:39"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row>
    <row r="113" spans="1:39"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row>
    <row r="114" spans="1:39"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row>
    <row r="115" spans="1:39"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row>
    <row r="116" spans="1:39"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row>
    <row r="117" spans="1:39"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row>
    <row r="118" spans="1:39"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row>
    <row r="119" spans="1:39"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row>
    <row r="120" spans="1:39"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row>
    <row r="121" spans="1:39"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row>
    <row r="122" spans="1:39"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row>
    <row r="123" spans="1:39"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row>
    <row r="124" spans="1:39"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row>
    <row r="125" spans="1:39"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row>
    <row r="126" spans="1:39"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row>
    <row r="127" spans="1:39"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row>
    <row r="128" spans="1:39"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row>
    <row r="129" spans="1:39"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row>
    <row r="130" spans="1:39"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row>
    <row r="131" spans="1:39"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row>
    <row r="132" spans="1:39"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row>
    <row r="133" spans="1:39"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row>
    <row r="134" spans="1:39"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row>
    <row r="135" spans="1:39"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row>
    <row r="136" spans="1:39"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row>
    <row r="137" spans="1:39"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row>
    <row r="138" spans="1:39"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row>
    <row r="139" spans="1:39"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row>
    <row r="140" spans="1:39"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row>
    <row r="141" spans="1:39"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row>
    <row r="142" spans="1:39"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row>
    <row r="143" spans="1:39"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row>
    <row r="144" spans="1:39"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row>
    <row r="145" spans="1:39"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row>
    <row r="146" spans="1:39"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row>
    <row r="147" spans="1:39"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row>
    <row r="148" spans="1:39"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row>
    <row r="149" spans="1:39"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row>
    <row r="150" spans="1:39"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row>
    <row r="151" spans="1:39"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row>
    <row r="152" spans="1:39"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row>
    <row r="153" spans="1:39"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row>
    <row r="154" spans="1:39"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row>
    <row r="155" spans="1:39"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row>
    <row r="156" spans="1:39"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row>
    <row r="157" spans="1:39"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row>
    <row r="158" spans="1:39"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row>
    <row r="159" spans="1:39"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row>
    <row r="160" spans="1:39"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row>
    <row r="161" spans="1:39"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row>
    <row r="162" spans="1:39"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row>
    <row r="163" spans="1:39"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row>
    <row r="164" spans="1:39"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row>
    <row r="165" spans="1:39"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row>
    <row r="166" spans="1:39"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row>
    <row r="167" spans="1:39"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row>
    <row r="168" spans="1:39"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row>
    <row r="169" spans="1:39"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row>
    <row r="170" spans="1:39"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row>
    <row r="171" spans="1:39"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row>
    <row r="172" spans="1:39"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row>
    <row r="173" spans="1:39"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row>
    <row r="174" spans="1:39"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row>
    <row r="175" spans="1:39"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row>
    <row r="176" spans="1:39"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row>
    <row r="177" spans="1:39"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row>
    <row r="178" spans="1:39"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row>
    <row r="179" spans="1:39"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row>
    <row r="180" spans="1:39"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row>
    <row r="181" spans="1:39"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row>
    <row r="182" spans="1:39"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row>
    <row r="183" spans="1:39"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row>
    <row r="184" spans="1:39"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row>
    <row r="185" spans="1:39"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row>
    <row r="186" spans="1:39"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row>
    <row r="187" spans="1:39"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row>
    <row r="188" spans="1:39"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row>
    <row r="189" spans="1:39"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row>
    <row r="190" spans="1:39"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row>
    <row r="191" spans="1:39"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row>
    <row r="192" spans="1:39"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row>
    <row r="193" spans="1:39"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row>
    <row r="194" spans="1:39"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row>
    <row r="195" spans="1:39"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row>
    <row r="196" spans="1:39"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row>
    <row r="197" spans="1:39"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row>
    <row r="198" spans="1:39"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row>
    <row r="199" spans="1:39"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row>
    <row r="200" spans="1:39"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row>
    <row r="201" spans="1:39"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row>
    <row r="202" spans="1:39"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row>
    <row r="203" spans="1:39"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row>
    <row r="204" spans="1:39"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row>
    <row r="205" spans="1:39"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row>
    <row r="206" spans="1:39"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row>
    <row r="207" spans="1:39"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row>
    <row r="208" spans="1:39"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row>
    <row r="209" spans="1:39"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row>
    <row r="210" spans="1:39"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row>
    <row r="211" spans="1:39"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row>
    <row r="212" spans="1:39"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row>
    <row r="213" spans="1:39"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row>
    <row r="214" spans="1:39"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row>
    <row r="215" spans="1:39"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row>
    <row r="216" spans="1:39"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row>
    <row r="217" spans="1:39"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row>
    <row r="218" spans="1:39"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row>
    <row r="219" spans="1:39"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row>
    <row r="220" spans="1:39"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row>
    <row r="221" spans="1:39"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row>
    <row r="222" spans="1:39"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row>
    <row r="223" spans="1:39"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row>
    <row r="224" spans="1:39"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row>
    <row r="225" spans="1:39"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row>
    <row r="226" spans="1:39"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row>
    <row r="227" spans="1:39"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row>
    <row r="228" spans="1:39"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row>
    <row r="229" spans="1:39"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row>
    <row r="230" spans="1:39"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row>
    <row r="231" spans="1:39"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row>
    <row r="232" spans="1:39"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row>
    <row r="233" spans="1:39"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row>
    <row r="234" spans="1:39"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row>
    <row r="235" spans="1:39"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row>
    <row r="236" spans="1:39"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row>
    <row r="237" spans="1:39"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row>
    <row r="238" spans="1:39"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row>
    <row r="239" spans="1:39"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row>
    <row r="240" spans="1:39"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row>
    <row r="241" spans="1:39"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row>
    <row r="242" spans="1:39"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row>
    <row r="243" spans="1:39"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row>
    <row r="244" spans="1:39"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row>
    <row r="245" spans="1:39"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row>
    <row r="246" spans="1:39"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row>
    <row r="247" spans="1:39"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row>
    <row r="248" spans="1:39"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row>
    <row r="249" spans="1:39"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row>
    <row r="250" spans="1:39"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row>
    <row r="251" spans="1:39"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row>
    <row r="252" spans="1:39"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row>
    <row r="253" spans="1:39"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row>
    <row r="254" spans="1:39"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row>
    <row r="255" spans="1:39"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row>
    <row r="256" spans="1:39"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row>
    <row r="257" spans="1:39"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row>
    <row r="258" spans="1:39"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row>
    <row r="259" spans="1:39"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row>
    <row r="260" spans="1:39"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row>
    <row r="261" spans="1:39"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row>
    <row r="262" spans="1:39"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row>
    <row r="263" spans="1:39"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row>
    <row r="264" spans="1:39"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row>
    <row r="265" spans="1:39"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row>
    <row r="266" spans="1:39"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row>
    <row r="267" spans="1:39"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row>
    <row r="268" spans="1:39"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row>
    <row r="269" spans="1:39"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row>
    <row r="270" spans="1:39"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row>
    <row r="271" spans="1:39"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row>
    <row r="272" spans="1:39"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row>
    <row r="273" spans="1:39"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row>
    <row r="274" spans="1:39"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row>
    <row r="275" spans="1:39"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row>
    <row r="276" spans="1:39"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row>
    <row r="277" spans="1:39"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row>
    <row r="278" spans="1:39"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row>
    <row r="279" spans="1:39"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row>
    <row r="280" spans="1:39"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row>
    <row r="281" spans="1:39"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row>
    <row r="282" spans="1:39"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row>
    <row r="283" spans="1:39"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row>
    <row r="284" spans="1:39"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row>
    <row r="285" spans="1:39"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row>
    <row r="286" spans="1:39"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row>
    <row r="287" spans="1:39"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row>
    <row r="288" spans="1:39"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row>
    <row r="289" spans="1:39"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row>
    <row r="290" spans="1:39"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row>
    <row r="291" spans="1:39"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row>
    <row r="292" spans="1:39"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row>
    <row r="293" spans="1:39"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row>
    <row r="294" spans="1:39"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row>
    <row r="295" spans="1:39"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row>
    <row r="296" spans="1:39"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row>
    <row r="297" spans="1:39"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row>
    <row r="298" spans="1:39"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row>
    <row r="299" spans="1:39"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row>
    <row r="300" spans="1:39"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row>
    <row r="301" spans="1:39"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row>
    <row r="302" spans="1:39"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row>
    <row r="303" spans="1:39"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row>
    <row r="304" spans="1:39"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row>
    <row r="305" spans="1:39"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row>
    <row r="306" spans="1:39"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row>
    <row r="307" spans="1:39"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row>
    <row r="308" spans="1:39"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row>
    <row r="309" spans="1:39"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row>
    <row r="310" spans="1:39"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row>
    <row r="311" spans="1:39"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row>
    <row r="312" spans="1:39"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row>
    <row r="313" spans="1:39"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row>
    <row r="314" spans="1:39"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row>
    <row r="315" spans="1:39"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row>
    <row r="316" spans="1:39"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row>
    <row r="317" spans="1:39"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row>
    <row r="318" spans="1:39"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row>
    <row r="319" spans="1:39"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row>
    <row r="320" spans="1:39"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row>
    <row r="321" spans="1:39"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row>
    <row r="322" spans="1:39"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row>
    <row r="323" spans="1:39"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row>
    <row r="324" spans="1:39"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row>
    <row r="325" spans="1:39"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row>
    <row r="326" spans="1:39"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row>
    <row r="327" spans="1:39"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row>
    <row r="328" spans="1:39"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row>
    <row r="329" spans="1:39"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row>
    <row r="330" spans="1:39"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row>
    <row r="331" spans="1:39"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row>
    <row r="332" spans="1:39"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row>
    <row r="333" spans="1:39"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row>
    <row r="334" spans="1:39"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row>
    <row r="335" spans="1:39"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row>
    <row r="336" spans="1:39"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row>
    <row r="337" spans="1:39"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row>
    <row r="338" spans="1:39"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row>
    <row r="339" spans="1:39"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row>
    <row r="340" spans="1:39"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row>
    <row r="341" spans="1:39"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row>
    <row r="342" spans="1:39"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row>
    <row r="343" spans="1:39"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row>
    <row r="344" spans="1:39"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row>
    <row r="345" spans="1:39"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row>
    <row r="346" spans="1:39"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row>
    <row r="347" spans="1:39"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row>
    <row r="348" spans="1:39"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row>
    <row r="349" spans="1:39"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row>
    <row r="350" spans="1:39"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row>
    <row r="351" spans="1:39"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row>
    <row r="352" spans="1:39"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row>
    <row r="353" spans="1:39"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row>
    <row r="354" spans="1:39"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row>
    <row r="355" spans="1:39"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row>
    <row r="356" spans="1:39"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row>
    <row r="357" spans="1:39"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row>
    <row r="358" spans="1:39"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row>
    <row r="359" spans="1:39"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row>
    <row r="360" spans="1:39"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row>
    <row r="361" spans="1:39"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row>
    <row r="362" spans="1:39"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row>
    <row r="363" spans="1:39"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row>
    <row r="364" spans="1:39"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row>
    <row r="365" spans="1:39"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row>
    <row r="366" spans="1:39"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row>
    <row r="367" spans="1:39"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row>
    <row r="368" spans="1:39"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row>
    <row r="369" spans="1:39"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row>
    <row r="370" spans="1:39"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row>
    <row r="371" spans="1:39"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row>
    <row r="372" spans="1:39"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row>
    <row r="373" spans="1:39"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row>
    <row r="374" spans="1:39"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row>
    <row r="375" spans="1:39"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row>
    <row r="376" spans="1:39"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row>
    <row r="377" spans="1:39"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row>
    <row r="378" spans="1:39"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row>
    <row r="379" spans="1:39"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row>
    <row r="380" spans="1:39"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row>
    <row r="381" spans="1:39"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row>
    <row r="382" spans="1:39"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row>
    <row r="383" spans="1:39"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row>
    <row r="384" spans="1:39"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row>
    <row r="385" spans="1:39"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row>
    <row r="386" spans="1:39"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row>
    <row r="387" spans="1:39"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row>
    <row r="388" spans="1:39"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row>
    <row r="389" spans="1:39"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row>
    <row r="390" spans="1:39"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row>
    <row r="391" spans="1:39"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row>
    <row r="392" spans="1:39"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row>
    <row r="393" spans="1:39"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row>
    <row r="394" spans="1:39"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row>
    <row r="395" spans="1:39"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row>
    <row r="396" spans="1:39"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row>
    <row r="397" spans="1:39"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row>
    <row r="398" spans="1:39"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row>
    <row r="399" spans="1:39"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row>
    <row r="400" spans="1:39"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row>
    <row r="401" spans="1:39"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row>
    <row r="402" spans="1:39"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row>
    <row r="403" spans="1:39"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row>
    <row r="404" spans="1:39"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row>
    <row r="405" spans="1:39"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row>
    <row r="406" spans="1:39"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row>
    <row r="407" spans="1:39"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row>
    <row r="408" spans="1:39"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row>
    <row r="409" spans="1:39"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row>
    <row r="410" spans="1:39"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row>
    <row r="411" spans="1:39"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row>
    <row r="412" spans="1:39"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row>
    <row r="413" spans="1:39"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row>
    <row r="414" spans="1:39"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row>
    <row r="415" spans="1:39"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row>
    <row r="416" spans="1:39"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row>
    <row r="417" spans="1:39"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row>
    <row r="418" spans="1:39"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row>
    <row r="419" spans="1:39"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row>
    <row r="420" spans="1:39"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row>
    <row r="421" spans="1:39"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row>
    <row r="422" spans="1:39"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row>
    <row r="423" spans="1:39"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row>
    <row r="424" spans="1:39"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row>
    <row r="425" spans="1:39"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row>
    <row r="426" spans="1:39"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row>
    <row r="427" spans="1:39"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row>
    <row r="428" spans="1:39"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row>
    <row r="429" spans="1:39"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row>
    <row r="430" spans="1:39"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row>
    <row r="431" spans="1:39"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row>
    <row r="432" spans="1:39"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row>
    <row r="433" spans="1:39"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row>
    <row r="434" spans="1:39"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row>
    <row r="435" spans="1:39"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row>
    <row r="436" spans="1:39"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row>
    <row r="437" spans="1:39"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row>
    <row r="438" spans="1:39"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row>
    <row r="439" spans="1:39"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row>
    <row r="440" spans="1:39"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row>
    <row r="441" spans="1:39"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row>
    <row r="442" spans="1:39"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row>
    <row r="443" spans="1:39"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row>
    <row r="444" spans="1:39"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row>
    <row r="445" spans="1:39"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row>
    <row r="446" spans="1:39"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row>
    <row r="447" spans="1:39"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row>
    <row r="448" spans="1:39"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row>
    <row r="449" spans="1:39"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row>
    <row r="450" spans="1:39"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row>
    <row r="451" spans="1:39"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row>
    <row r="452" spans="1:39"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row>
    <row r="453" spans="1:39"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row>
    <row r="454" spans="1:39"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row>
    <row r="455" spans="1:39"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row>
    <row r="456" spans="1:39"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row>
    <row r="457" spans="1:39"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row>
    <row r="458" spans="1:39"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row>
    <row r="459" spans="1:39"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row>
    <row r="460" spans="1:39"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row>
    <row r="461" spans="1:39"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row>
    <row r="462" spans="1:39"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row>
    <row r="463" spans="1:39"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row>
    <row r="464" spans="1:39"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row>
    <row r="465" spans="1:39"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row>
    <row r="466" spans="1:39"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row>
    <row r="467" spans="1:39"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row>
    <row r="468" spans="1:39"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row>
    <row r="469" spans="1:39"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row>
    <row r="470" spans="1:39"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row>
    <row r="471" spans="1:39"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row>
    <row r="472" spans="1:39"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row>
    <row r="473" spans="1:39"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row>
    <row r="474" spans="1:39"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row>
    <row r="475" spans="1:39"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row>
    <row r="476" spans="1:39"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row>
    <row r="477" spans="1:39"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row>
    <row r="478" spans="1:39"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row>
    <row r="479" spans="1:39"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row>
    <row r="480" spans="1:39"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row>
    <row r="481" spans="1:39"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row>
    <row r="482" spans="1:39"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row>
    <row r="483" spans="1:39"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row>
    <row r="484" spans="1:39"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row>
    <row r="485" spans="1:39"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row>
    <row r="486" spans="1:39"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row>
    <row r="487" spans="1:39"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row>
    <row r="488" spans="1:39"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row>
    <row r="489" spans="1:39"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row>
    <row r="490" spans="1:39"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row>
    <row r="491" spans="1:39"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row>
    <row r="492" spans="1:39"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row>
    <row r="493" spans="1:39"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row>
    <row r="494" spans="1:39"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row>
    <row r="495" spans="1:39"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row>
    <row r="496" spans="1:39"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row>
    <row r="497" spans="1:39"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row>
    <row r="498" spans="1:39"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row>
    <row r="499" spans="1:39"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row>
    <row r="500" spans="1:39"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row>
    <row r="501" spans="1:39"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row>
    <row r="502" spans="1:39"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row>
    <row r="503" spans="1:39"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row>
    <row r="504" spans="1:39"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row>
    <row r="505" spans="1:39"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row>
    <row r="506" spans="1:39"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row>
    <row r="507" spans="1:39"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row>
    <row r="508" spans="1:39"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row>
    <row r="509" spans="1:39"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row>
    <row r="510" spans="1:39"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row>
    <row r="511" spans="1:39"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row>
    <row r="512" spans="1:39"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row>
    <row r="513" spans="1:39"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row>
    <row r="514" spans="1:39"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row>
    <row r="515" spans="1:39"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row>
    <row r="516" spans="1:39"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row>
    <row r="517" spans="1:39"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row>
    <row r="518" spans="1:39"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row>
    <row r="519" spans="1:39"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row>
    <row r="520" spans="1:39"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row>
    <row r="521" spans="1:39"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row>
    <row r="522" spans="1:39"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row>
    <row r="523" spans="1:39"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row>
    <row r="524" spans="1:39"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row>
    <row r="525" spans="1:39"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row>
    <row r="526" spans="1:39"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row>
    <row r="527" spans="1:39"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row>
    <row r="528" spans="1:39"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row>
    <row r="529" spans="1:39"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row>
    <row r="530" spans="1:39"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row>
    <row r="531" spans="1:39"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row>
    <row r="532" spans="1:39"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row>
    <row r="533" spans="1:39"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row>
    <row r="534" spans="1:39"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row>
    <row r="535" spans="1:39"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row>
    <row r="536" spans="1:39" ht="15.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row>
    <row r="537" spans="1:39" ht="15.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row>
    <row r="538" spans="1:39" ht="15.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row>
    <row r="539" spans="1:39" ht="15.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row>
    <row r="540" spans="1:39" ht="15.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row>
    <row r="541" spans="1:39" ht="15.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row>
    <row r="542" spans="1:39" ht="15.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row>
    <row r="543" spans="1:39" ht="15.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row>
    <row r="544" spans="1:39" ht="15.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row>
    <row r="545" spans="1:39" ht="15.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row>
    <row r="546" spans="1:39" ht="15.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row>
    <row r="547" spans="1:39" ht="15.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row>
    <row r="548" spans="1:39" ht="15.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row>
    <row r="549" spans="1:39" ht="15.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row>
    <row r="550" spans="1:39" ht="15.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row>
    <row r="551" spans="1:39" ht="15.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row>
    <row r="552" spans="1:39" ht="15.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row>
    <row r="553" spans="1:39" ht="15.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row>
    <row r="554" spans="1:39" ht="15.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row>
    <row r="555" spans="1:39" ht="15.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row>
    <row r="556" spans="1:39" ht="15.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row>
    <row r="557" spans="1:39" ht="15.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row>
    <row r="558" spans="1:39" ht="15.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row>
    <row r="559" spans="1:39" ht="15.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row>
    <row r="560" spans="1:39" ht="15.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row>
    <row r="561" spans="1:39" ht="15.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row>
    <row r="562" spans="1:39" ht="15.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row>
    <row r="563" spans="1:39" ht="15.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row>
    <row r="564" spans="1:39" ht="15.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row>
    <row r="565" spans="1:39" ht="15.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row>
    <row r="566" spans="1:39" ht="15.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row>
    <row r="567" spans="1:39" ht="15.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row>
    <row r="568" spans="1:39" ht="15.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row>
    <row r="569" spans="1:39" ht="15.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row>
    <row r="570" spans="1:39" ht="15.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row>
    <row r="571" spans="1:39" ht="15.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row>
    <row r="572" spans="1:39" ht="15.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row>
    <row r="573" spans="1:39" ht="15.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row>
    <row r="574" spans="1:39" ht="15.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row>
    <row r="575" spans="1:39" ht="15.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row>
    <row r="576" spans="1:39" ht="15.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row>
    <row r="577" spans="1:39" ht="15.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row>
    <row r="578" spans="1:39" ht="15.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row>
    <row r="579" spans="1:39" ht="15.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row>
    <row r="580" spans="1:39" ht="15.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row>
    <row r="581" spans="1:39" ht="15.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row>
    <row r="582" spans="1:39" ht="15.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row>
    <row r="583" spans="1:39" ht="15.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row>
    <row r="584" spans="1:39" ht="15.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row>
    <row r="585" spans="1:39" ht="15.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row>
    <row r="586" spans="1:39" ht="15.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row>
    <row r="587" spans="1:39" ht="15.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row>
    <row r="588" spans="1:39" ht="15.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row>
    <row r="589" spans="1:39" ht="15.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row>
    <row r="590" spans="1:39" ht="15.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row>
    <row r="591" spans="1:39" ht="15.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row>
    <row r="592" spans="1:39" ht="15.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row>
    <row r="593" spans="1:39" ht="15.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row>
    <row r="594" spans="1:39" ht="15.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row>
    <row r="595" spans="1:39" ht="15.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row>
    <row r="596" spans="1:39" ht="15.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row>
    <row r="597" spans="1:39" ht="15.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row>
    <row r="598" spans="1:39" ht="15.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row>
    <row r="599" spans="1:39" ht="15.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row>
    <row r="600" spans="1:39" ht="15.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row>
    <row r="601" spans="1:39" ht="15.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row>
    <row r="602" spans="1:39" ht="15.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row>
    <row r="603" spans="1:39" ht="15.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row>
    <row r="604" spans="1:39" ht="15.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row>
    <row r="605" spans="1:39" ht="15.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row>
    <row r="606" spans="1:39" ht="15.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row>
    <row r="607" spans="1:39" ht="15.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row>
    <row r="608" spans="1:39" ht="15.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row>
    <row r="609" spans="1:39" ht="15.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row>
    <row r="610" spans="1:39" ht="15.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row>
    <row r="611" spans="1:39" ht="15.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row>
    <row r="612" spans="1:39" ht="15.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row>
    <row r="613" spans="1:39" ht="15.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row>
    <row r="614" spans="1:39" ht="15.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row>
    <row r="615" spans="1:39" ht="15.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row>
    <row r="616" spans="1:39" ht="15.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row>
    <row r="617" spans="1:39" ht="15.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row>
    <row r="618" spans="1:39" ht="15.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row>
    <row r="619" spans="1:39" ht="15.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row>
    <row r="620" spans="1:39" ht="15.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row>
    <row r="621" spans="1:39" ht="15.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row>
    <row r="622" spans="1:39" ht="15.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row>
    <row r="623" spans="1:39" ht="15.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row>
    <row r="624" spans="1:39" ht="15.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row>
    <row r="625" spans="1:39" ht="15.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row>
    <row r="626" spans="1:39" ht="15.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row>
    <row r="627" spans="1:39" ht="15.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row>
    <row r="628" spans="1:39" ht="15.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row>
    <row r="629" spans="1:39" ht="15.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row>
    <row r="630" spans="1:39" ht="15.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row>
    <row r="631" spans="1:39" ht="15.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row>
    <row r="632" spans="1:39" ht="15.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row>
    <row r="633" spans="1:39" ht="15.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row>
    <row r="634" spans="1:39" ht="15.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row>
    <row r="635" spans="1:39" ht="15.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row>
    <row r="636" spans="1:39" ht="15.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row>
    <row r="637" spans="1:39" ht="15.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row>
    <row r="638" spans="1:39" ht="15.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row>
    <row r="639" spans="1:39" ht="15.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row>
    <row r="640" spans="1:39" ht="15.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row>
    <row r="641" spans="1:39" ht="15.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row>
    <row r="642" spans="1:39" ht="15.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row>
    <row r="643" spans="1:39" ht="15.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row>
    <row r="644" spans="1:39" ht="15.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row>
    <row r="645" spans="1:39" ht="15.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row>
    <row r="646" spans="1:39" ht="15.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row>
    <row r="647" spans="1:39" ht="15.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row>
    <row r="648" spans="1:39" ht="15.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row>
    <row r="649" spans="1:39" ht="15.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row>
    <row r="650" spans="1:39" ht="15.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row>
    <row r="651" spans="1:39" ht="15.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row>
    <row r="652" spans="1:39" ht="15.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row>
    <row r="653" spans="1:39" ht="15.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row>
    <row r="654" spans="1:39" ht="15.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row>
    <row r="655" spans="1:39" ht="15.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row>
    <row r="656" spans="1:39" ht="15.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row>
    <row r="657" spans="1:39" ht="15.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row>
    <row r="658" spans="1:39" ht="15.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row>
    <row r="659" spans="1:39" ht="15.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row>
    <row r="660" spans="1:39" ht="15.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row>
    <row r="661" spans="1:39" ht="15.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row>
    <row r="662" spans="1:39" ht="15.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row>
    <row r="663" spans="1:39" ht="15.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row>
    <row r="664" spans="1:39" ht="15.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row>
    <row r="665" spans="1:39" ht="15.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row>
    <row r="666" spans="1:39" ht="15.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row>
    <row r="667" spans="1:39" ht="15.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row>
    <row r="668" spans="1:39" ht="15.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row>
    <row r="669" spans="1:39" ht="15.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row>
    <row r="670" spans="1:39" ht="15.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row>
    <row r="671" spans="1:39" ht="15.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row>
    <row r="672" spans="1:39" ht="15.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row>
    <row r="673" spans="1:39" ht="15.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row>
    <row r="674" spans="1:39" ht="15.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row>
    <row r="675" spans="1:39" ht="15.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row>
    <row r="676" spans="1:39" ht="15.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row>
    <row r="677" spans="1:39" ht="15.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row>
    <row r="678" spans="1:39" ht="15.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row>
    <row r="679" spans="1:39" ht="15.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row>
    <row r="680" spans="1:39" ht="15.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row>
    <row r="681" spans="1:39" ht="15.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row>
    <row r="682" spans="1:39" ht="15.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row>
    <row r="683" spans="1:39" ht="15.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row>
    <row r="684" spans="1:39" ht="15.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row>
    <row r="685" spans="1:39" ht="15.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row>
    <row r="686" spans="1:39" ht="15.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row>
    <row r="687" spans="1:39" ht="15.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row>
    <row r="688" spans="1:39" ht="15.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row>
    <row r="689" spans="1:39" ht="15.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row>
    <row r="690" spans="1:39" ht="15.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row>
    <row r="691" spans="1:39" ht="15.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row>
    <row r="692" spans="1:39" ht="15.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row>
    <row r="693" spans="1:39" ht="15.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row>
    <row r="694" spans="1:39" ht="15.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row>
    <row r="695" spans="1:39" ht="15.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row>
    <row r="696" spans="1:39" ht="15.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row>
    <row r="697" spans="1:39" ht="15.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row>
    <row r="698" spans="1:39" ht="15.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row>
    <row r="699" spans="1:39" ht="15.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row>
    <row r="700" spans="1:39" ht="15.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row>
    <row r="701" spans="1:39" ht="15.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row>
    <row r="702" spans="1:39" ht="15.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row>
    <row r="703" spans="1:39" ht="15.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row>
    <row r="704" spans="1:39" ht="15.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row>
    <row r="705" spans="1:39" ht="15.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row>
    <row r="706" spans="1:39" ht="15.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row>
    <row r="707" spans="1:39" ht="15.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row>
    <row r="708" spans="1:39" ht="15.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row>
    <row r="709" spans="1:39" ht="15.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row>
    <row r="710" spans="1:39" ht="15.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row>
    <row r="711" spans="1:39" ht="15.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row>
    <row r="712" spans="1:39" ht="15.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row>
    <row r="713" spans="1:39" ht="15.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row>
    <row r="714" spans="1:39" ht="15.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row>
    <row r="715" spans="1:39" ht="15.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row>
    <row r="716" spans="1:39" ht="15.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row>
    <row r="717" spans="1:39" ht="15.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row>
    <row r="718" spans="1:39" ht="15.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row>
    <row r="719" spans="1:39" ht="15.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row>
    <row r="720" spans="1:39" ht="15.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row>
    <row r="721" spans="1:39" ht="15.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row>
    <row r="722" spans="1:39" ht="15.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row>
    <row r="723" spans="1:39" ht="15.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row>
    <row r="724" spans="1:39" ht="15.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row>
    <row r="725" spans="1:39" ht="15.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row>
    <row r="726" spans="1:39" ht="15.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row>
    <row r="727" spans="1:39" ht="15.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row>
    <row r="728" spans="1:39" ht="15.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row>
    <row r="729" spans="1:39" ht="15.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row>
    <row r="730" spans="1:39" ht="15.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row>
    <row r="731" spans="1:39" ht="15.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row>
    <row r="732" spans="1:39" ht="15.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row>
    <row r="733" spans="1:39" ht="15.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row>
    <row r="734" spans="1:39" ht="15.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row>
    <row r="735" spans="1:39" ht="15.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row>
    <row r="736" spans="1:39" ht="15.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row>
    <row r="737" spans="1:39" ht="15.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row>
    <row r="738" spans="1:39" ht="15.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row>
    <row r="739" spans="1:39" ht="15.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row>
    <row r="740" spans="1:39" ht="15.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row>
    <row r="741" spans="1:39" ht="15.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row>
    <row r="742" spans="1:39" ht="15.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row>
    <row r="743" spans="1:39" ht="15.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row>
    <row r="744" spans="1:39" ht="15.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row>
    <row r="745" spans="1:39" ht="15.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row>
    <row r="746" spans="1:39" ht="15.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row>
    <row r="747" spans="1:39" ht="15.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row>
    <row r="748" spans="1:39" ht="15.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row>
    <row r="749" spans="1:39" ht="15.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row>
    <row r="750" spans="1:39" ht="15.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row>
    <row r="751" spans="1:39" ht="15.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row>
    <row r="752" spans="1:39" ht="15.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row>
    <row r="753" spans="1:39" ht="15.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row>
    <row r="754" spans="1:39" ht="15.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row>
    <row r="755" spans="1:39" ht="15.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row>
    <row r="756" spans="1:39" ht="15.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row>
    <row r="757" spans="1:39" ht="15.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row>
    <row r="758" spans="1:39" ht="15.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row>
    <row r="759" spans="1:39" ht="15.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row>
    <row r="760" spans="1:39" ht="15.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row>
    <row r="761" spans="1:39" ht="15.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row>
    <row r="762" spans="1:39" ht="15.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row>
    <row r="763" spans="1:39" ht="15.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row>
    <row r="764" spans="1:39" ht="15.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row>
    <row r="765" spans="1:39" ht="15.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row>
    <row r="766" spans="1:39" ht="15.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row>
    <row r="767" spans="1:39" ht="15.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row>
    <row r="768" spans="1:39" ht="15.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row>
    <row r="769" spans="1:39" ht="15.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row>
    <row r="770" spans="1:39" ht="15.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row>
    <row r="771" spans="1:39" ht="15.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row>
    <row r="772" spans="1:39" ht="15.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row>
    <row r="773" spans="1:39" ht="15.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row>
    <row r="774" spans="1:39" ht="15.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row>
    <row r="775" spans="1:39" ht="15.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row>
    <row r="776" spans="1:39" ht="15.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row>
    <row r="777" spans="1:39" ht="15.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row>
    <row r="778" spans="1:39" ht="15.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row>
    <row r="779" spans="1:39" ht="15.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row>
    <row r="780" spans="1:39" ht="15.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row>
    <row r="781" spans="1:39" ht="15.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row>
    <row r="782" spans="1:39" ht="15.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row>
    <row r="783" spans="1:39" ht="15.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row>
    <row r="784" spans="1:39" ht="15.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row>
    <row r="785" spans="1:39" ht="15.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row>
    <row r="786" spans="1:39" ht="15.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row>
    <row r="787" spans="1:39" ht="15.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row>
    <row r="788" spans="1:39" ht="15.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row>
    <row r="789" spans="1:39" ht="15.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row>
    <row r="790" spans="1:39" ht="15.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row>
    <row r="791" spans="1:39" ht="15.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row>
    <row r="792" spans="1:39" ht="15.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row>
    <row r="793" spans="1:39" ht="15.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row>
    <row r="794" spans="1:39" ht="15.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row>
    <row r="795" spans="1:39" ht="15.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row>
    <row r="796" spans="1:39" ht="15.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row>
    <row r="797" spans="1:39" ht="15.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row>
    <row r="798" spans="1:39" ht="15.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row>
    <row r="799" spans="1:39" ht="15.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row>
    <row r="800" spans="1:39" ht="15.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row>
    <row r="801" spans="1:39" ht="15.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row>
    <row r="802" spans="1:39" ht="15.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row>
    <row r="803" spans="1:39" ht="15.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row>
    <row r="804" spans="1:39" ht="15.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row>
    <row r="805" spans="1:39" ht="15.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row>
    <row r="806" spans="1:39" ht="15.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row>
    <row r="807" spans="1:39" ht="15.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row>
    <row r="808" spans="1:39" ht="15.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row>
    <row r="809" spans="1:39" ht="15.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row>
    <row r="810" spans="1:39" ht="15.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row>
    <row r="811" spans="1:39" ht="15.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row>
    <row r="812" spans="1:39" ht="15.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row>
    <row r="813" spans="1:39" ht="15.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row>
    <row r="814" spans="1:39" ht="15.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row>
    <row r="815" spans="1:39" ht="15.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row>
    <row r="816" spans="1:39" ht="15.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row>
    <row r="817" spans="1:39" ht="15.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row>
    <row r="818" spans="1:39" ht="15.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row>
    <row r="819" spans="1:39" ht="15.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row>
    <row r="820" spans="1:39" ht="15.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row>
    <row r="821" spans="1:39" ht="15.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row>
    <row r="822" spans="1:39" ht="15.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row>
    <row r="823" spans="1:39" ht="15.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row>
    <row r="824" spans="1:39" ht="15.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row>
    <row r="825" spans="1:39" ht="15.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row>
    <row r="826" spans="1:39" ht="15.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row>
    <row r="827" spans="1:39" ht="15.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row>
    <row r="828" spans="1:39" ht="15.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row>
    <row r="829" spans="1:39" ht="15.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row>
    <row r="830" spans="1:39" ht="15.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row>
    <row r="831" spans="1:39" ht="15.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row>
    <row r="832" spans="1:39" ht="15.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row>
    <row r="833" spans="1:39" ht="15.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row>
    <row r="834" spans="1:39" ht="15.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row>
    <row r="835" spans="1:39" ht="15.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row>
    <row r="836" spans="1:39" ht="15.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row>
    <row r="837" spans="1:39" ht="15.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row>
    <row r="838" spans="1:39" ht="15.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row>
    <row r="839" spans="1:39" ht="15.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row>
    <row r="840" spans="1:39" ht="15.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row>
    <row r="841" spans="1:39" ht="15.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row>
    <row r="842" spans="1:39" ht="15.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row>
    <row r="843" spans="1:39" ht="15.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row>
    <row r="844" spans="1:39" ht="15.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row>
    <row r="845" spans="1:39" ht="15.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row>
    <row r="846" spans="1:39" ht="15.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row>
    <row r="847" spans="1:39" ht="15.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row>
    <row r="848" spans="1:39" ht="15.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row>
    <row r="849" spans="1:39" ht="15.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row>
    <row r="850" spans="1:39" ht="15.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row>
    <row r="851" spans="1:39" ht="15.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row>
    <row r="852" spans="1:39" ht="15.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row>
    <row r="853" spans="1:39" ht="15.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row>
    <row r="854" spans="1:39" ht="15.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row>
    <row r="855" spans="1:39" ht="15.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row>
    <row r="856" spans="1:39" ht="15.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row>
    <row r="857" spans="1:39" ht="15.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row>
    <row r="858" spans="1:39" ht="15.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row>
    <row r="859" spans="1:39" ht="15.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row>
    <row r="860" spans="1:39" ht="15.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row>
    <row r="861" spans="1:39" ht="15.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row>
    <row r="862" spans="1:39" ht="15.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row>
    <row r="863" spans="1:39" ht="15.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row>
    <row r="864" spans="1:39" ht="15.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row>
    <row r="865" spans="1:39" ht="15.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row>
    <row r="866" spans="1:39" ht="15.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row>
    <row r="867" spans="1:39" ht="15.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row>
    <row r="868" spans="1:39" ht="15.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row>
    <row r="869" spans="1:39" ht="15.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row>
    <row r="870" spans="1:39" ht="15.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row>
    <row r="871" spans="1:39" ht="15.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row>
    <row r="872" spans="1:39" ht="15.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row>
    <row r="873" spans="1:39" ht="15.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row>
    <row r="874" spans="1:39" ht="15.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row>
    <row r="875" spans="1:39" ht="15.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row>
    <row r="876" spans="1:39" ht="15.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row>
    <row r="877" spans="1:39" ht="15.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row>
    <row r="878" spans="1:39" ht="15.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row>
    <row r="879" spans="1:39" ht="15.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row>
    <row r="880" spans="1:39" ht="15.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row>
    <row r="881" spans="1:39" ht="15.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row>
    <row r="882" spans="1:39" ht="15.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row>
    <row r="883" spans="1:39" ht="15.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row>
    <row r="884" spans="1:39" ht="15.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row>
    <row r="885" spans="1:39" ht="15.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row>
    <row r="886" spans="1:39" ht="15.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row>
    <row r="887" spans="1:39" ht="15.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row>
    <row r="888" spans="1:39" ht="15.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row>
    <row r="889" spans="1:39" ht="15.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row>
    <row r="890" spans="1:39" ht="15.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row>
    <row r="891" spans="1:39" ht="15.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row>
    <row r="892" spans="1:39" ht="15.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row>
    <row r="893" spans="1:39" ht="15.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row>
    <row r="894" spans="1:39" ht="15.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row>
    <row r="895" spans="1:39" ht="15.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row>
    <row r="896" spans="1:39" ht="15.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row>
    <row r="897" spans="1:39" ht="15.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row>
    <row r="898" spans="1:39" ht="15.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row>
    <row r="899" spans="1:39" ht="15.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row>
    <row r="900" spans="1:39" ht="15.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row>
    <row r="901" spans="1:39" ht="15.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row>
    <row r="902" spans="1:39" ht="15.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row>
    <row r="903" spans="1:39" ht="15.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row>
    <row r="904" spans="1:39" ht="15.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row>
    <row r="905" spans="1:39" ht="15.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row>
    <row r="906" spans="1:39" ht="15.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row>
    <row r="907" spans="1:39" ht="15.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row>
    <row r="908" spans="1:39" ht="15.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row>
    <row r="909" spans="1:39" ht="15.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row>
    <row r="910" spans="1:39" ht="15.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row>
    <row r="911" spans="1:39" ht="15.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row>
    <row r="912" spans="1:39" ht="15.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row>
    <row r="913" spans="1:39" ht="15.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row>
    <row r="914" spans="1:39" ht="15.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row>
    <row r="915" spans="1:39" ht="15.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row>
    <row r="916" spans="1:39" ht="15.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row>
    <row r="917" spans="1:39" ht="15.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row>
    <row r="918" spans="1:39" ht="15.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row>
    <row r="919" spans="1:39" ht="15.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row>
    <row r="920" spans="1:39" ht="15.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row>
    <row r="921" spans="1:39" ht="15.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row>
    <row r="922" spans="1:39" ht="15.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row>
    <row r="923" spans="1:39" ht="15.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row>
    <row r="924" spans="1:39" ht="15.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row>
    <row r="925" spans="1:39" ht="15.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row>
    <row r="926" spans="1:39" ht="15.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row>
    <row r="927" spans="1:39" ht="15.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row>
    <row r="928" spans="1:39" ht="15.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row>
    <row r="929" spans="1:39" ht="15.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row>
    <row r="930" spans="1:39" ht="15.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row>
    <row r="931" spans="1:39" ht="15.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row>
    <row r="932" spans="1:39" ht="15.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row>
    <row r="933" spans="1:39" ht="15.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row>
    <row r="934" spans="1:39" ht="15.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row>
    <row r="935" spans="1:39" ht="15.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row>
    <row r="936" spans="1:39" ht="15.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row>
    <row r="937" spans="1:39" ht="15.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row>
    <row r="938" spans="1:39" ht="15.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row>
    <row r="939" spans="1:39" ht="15.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row>
    <row r="940" spans="1:39" ht="15.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row>
    <row r="941" spans="1:39" ht="15.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row>
    <row r="942" spans="1:39" ht="15.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row>
    <row r="943" spans="1:39" ht="15.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row>
    <row r="944" spans="1:39" ht="15.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row>
    <row r="945" spans="1:39" ht="15.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row>
    <row r="946" spans="1:39" ht="15.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row>
    <row r="947" spans="1:39" ht="15.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row>
    <row r="948" spans="1:39" ht="15.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row>
    <row r="949" spans="1:39" ht="15.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row>
    <row r="950" spans="1:39" ht="15.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row>
    <row r="951" spans="1:39" ht="15.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row>
    <row r="952" spans="1:39" ht="15.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row>
    <row r="953" spans="1:39" ht="15.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row>
    <row r="954" spans="1:39" ht="15.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row>
    <row r="955" spans="1:39" ht="15.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row>
    <row r="956" spans="1:39" ht="15.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row>
    <row r="957" spans="1:39" ht="15.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row>
    <row r="958" spans="1:39" ht="15.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row>
    <row r="959" spans="1:39" ht="15.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row>
    <row r="960" spans="1:39" ht="15.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row>
    <row r="961" spans="1:39" ht="15.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row>
    <row r="962" spans="1:39" ht="15.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row>
    <row r="963" spans="1:39" ht="15.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row>
    <row r="964" spans="1:39" ht="15.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row>
    <row r="965" spans="1:39" ht="15.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row>
    <row r="966" spans="1:39" ht="15.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row>
    <row r="967" spans="1:39" ht="15.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row>
    <row r="968" spans="1:39" ht="15.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row>
    <row r="969" spans="1:39" ht="15.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row>
    <row r="970" spans="1:39" ht="15.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row>
    <row r="971" spans="1:39" ht="15.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row>
    <row r="972" spans="1:39" ht="15.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row>
    <row r="973" spans="1:39" ht="15.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row>
    <row r="974" spans="1:39" ht="15.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row>
    <row r="975" spans="1:39" ht="15.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row>
    <row r="976" spans="1:39" ht="15.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row>
    <row r="977" spans="1:39" ht="15.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row>
    <row r="978" spans="1:39" ht="15.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row>
    <row r="979" spans="1:39" ht="15.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row>
    <row r="980" spans="1:39" ht="15.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row>
    <row r="981" spans="1:39" ht="15.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row>
    <row r="982" spans="1:39" ht="15.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row>
    <row r="983" spans="1:39" ht="15.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row>
    <row r="984" spans="1:39" ht="15.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row>
    <row r="985" spans="1:39" ht="15.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row>
    <row r="986" spans="1:39" ht="15.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row>
    <row r="987" spans="1:39" ht="15.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row>
    <row r="988" spans="1:39" ht="15.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row>
    <row r="989" spans="1:39" ht="15.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row>
    <row r="990" spans="1:39" ht="15.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row>
    <row r="991" spans="1:39" ht="15.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row>
    <row r="992" spans="1:39" ht="15.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row>
    <row r="993" spans="1:39" ht="15.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row>
    <row r="994" spans="1:39" ht="15.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row>
    <row r="995" spans="1:39" ht="15.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row>
    <row r="996" spans="1:39" ht="15.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row>
    <row r="997" spans="1:39" ht="15.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row>
    <row r="998" spans="1:39" ht="15.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row>
    <row r="999" spans="1:39" ht="15.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row>
    <row r="1000" spans="1:39" ht="15.7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row>
  </sheetData>
  <hyperlinks>
    <hyperlink ref="L2" location="'1.Explanation_and_contents'!A1" display="Table of contents" xr:uid="{00000000-0004-0000-0300-000000000000}"/>
  </hyperlinks>
  <pageMargins left="0.75" right="0.75" top="1" bottom="1" header="0" footer="0"/>
  <pageSetup paperSize="9" orientation="portrait"/>
  <drawing r:id="rId1"/>
  <extLst>
    <ext xmlns:x14="http://schemas.microsoft.com/office/spreadsheetml/2009/9/main" uri="{CCE6A557-97BC-4b89-ADB6-D9C93CAAB3DF}">
      <x14:dataValidations xmlns:xm="http://schemas.microsoft.com/office/excel/2006/main" count="2">
        <x14:dataValidation type="list" allowBlank="1" showErrorMessage="1" xr:uid="{00000000-0002-0000-0300-000001000000}">
          <x14:formula1>
            <xm:f>Validation!$B$4:$B$1048576</xm:f>
          </x14:formula1>
          <xm:sqref>E11 P11 AD11 AR11</xm:sqref>
        </x14:dataValidation>
        <x14:dataValidation type="list" allowBlank="1" showErrorMessage="1" xr:uid="{CEEB8852-B115-4244-BBEF-65BC2B745092}">
          <x14:formula1>
            <xm:f>Validation!$O$2:$O$4</xm:f>
          </x14:formula1>
          <xm:sqref>D6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tabSelected="1" workbookViewId="0">
      <selection activeCell="P29" sqref="P29"/>
    </sheetView>
  </sheetViews>
  <sheetFormatPr baseColWidth="10" defaultColWidth="11.28515625" defaultRowHeight="15" customHeight="1" x14ac:dyDescent="0.2"/>
  <cols>
    <col min="1" max="1" width="2.42578125" style="39" customWidth="1"/>
    <col min="2" max="2" width="22.85546875" style="39" customWidth="1"/>
    <col min="3" max="3" width="14.42578125" style="39" customWidth="1"/>
    <col min="4" max="15" width="10.7109375" style="39" customWidth="1"/>
    <col min="16" max="26" width="10.5703125" style="39" customWidth="1"/>
    <col min="27" max="16383" width="11.28515625" style="39" customWidth="1"/>
    <col min="16384" max="16384" width="6.7109375" style="39" customWidth="1"/>
  </cols>
  <sheetData>
    <row r="1" spans="1:26" ht="15.75" customHeight="1" x14ac:dyDescent="0.2">
      <c r="A1" s="1"/>
      <c r="B1" s="1"/>
      <c r="C1" s="1">
        <v>2</v>
      </c>
      <c r="D1" s="1">
        <v>3</v>
      </c>
      <c r="E1" s="1">
        <v>4</v>
      </c>
      <c r="F1" s="1">
        <v>5</v>
      </c>
      <c r="G1" s="1">
        <v>6</v>
      </c>
      <c r="H1" s="1">
        <v>7</v>
      </c>
      <c r="I1" s="1">
        <v>8</v>
      </c>
      <c r="J1" s="1">
        <v>9</v>
      </c>
      <c r="K1" s="1">
        <v>10</v>
      </c>
      <c r="L1" s="1">
        <v>11</v>
      </c>
      <c r="M1" s="1">
        <v>12</v>
      </c>
      <c r="N1" s="1"/>
      <c r="O1" s="1" t="s">
        <v>150</v>
      </c>
      <c r="P1" s="1"/>
      <c r="Q1" s="1"/>
      <c r="R1" s="1"/>
      <c r="S1" s="1"/>
      <c r="T1" s="1"/>
      <c r="U1" s="1"/>
      <c r="V1" s="1"/>
      <c r="W1" s="1"/>
      <c r="X1" s="1"/>
      <c r="Y1" s="1"/>
      <c r="Z1" s="1"/>
    </row>
    <row r="2" spans="1:26" ht="15.75" customHeight="1" x14ac:dyDescent="0.2">
      <c r="A2" s="1"/>
      <c r="B2" s="1"/>
      <c r="C2" s="4" t="s">
        <v>151</v>
      </c>
      <c r="D2" s="4" t="s">
        <v>152</v>
      </c>
      <c r="E2" s="4" t="s">
        <v>153</v>
      </c>
      <c r="F2" s="4" t="s">
        <v>154</v>
      </c>
      <c r="G2" s="4" t="s">
        <v>155</v>
      </c>
      <c r="H2" s="4" t="s">
        <v>156</v>
      </c>
      <c r="I2" s="4" t="s">
        <v>157</v>
      </c>
      <c r="J2" s="4" t="s">
        <v>158</v>
      </c>
      <c r="K2" s="4" t="s">
        <v>159</v>
      </c>
      <c r="L2" s="4" t="s">
        <v>160</v>
      </c>
      <c r="M2" s="4" t="s">
        <v>161</v>
      </c>
      <c r="N2" s="1"/>
      <c r="O2" s="1" t="s">
        <v>162</v>
      </c>
      <c r="P2" s="1"/>
      <c r="Q2" s="1"/>
      <c r="R2" s="1"/>
      <c r="S2" s="1"/>
      <c r="T2" s="1"/>
      <c r="U2" s="1"/>
      <c r="V2" s="1"/>
      <c r="W2" s="1"/>
      <c r="X2" s="1"/>
      <c r="Y2" s="1"/>
      <c r="Z2" s="1"/>
    </row>
    <row r="3" spans="1:26" ht="15.75" customHeight="1" x14ac:dyDescent="0.2">
      <c r="A3" s="1"/>
      <c r="B3" s="1"/>
      <c r="C3" s="1"/>
      <c r="D3" s="1"/>
      <c r="E3" s="1"/>
      <c r="F3" s="1"/>
      <c r="G3" s="1"/>
      <c r="H3" s="1"/>
      <c r="I3" s="1"/>
      <c r="J3" s="1"/>
      <c r="K3" s="1"/>
      <c r="L3" s="1"/>
      <c r="M3" s="1"/>
      <c r="N3" s="1"/>
      <c r="O3" s="1" t="s">
        <v>178</v>
      </c>
      <c r="P3" s="1"/>
      <c r="Q3" s="1"/>
      <c r="R3" s="1"/>
      <c r="S3" s="1"/>
      <c r="T3" s="1"/>
      <c r="U3" s="1"/>
      <c r="V3" s="1"/>
      <c r="W3" s="1"/>
      <c r="X3" s="1"/>
      <c r="Y3" s="1"/>
      <c r="Z3" s="1"/>
    </row>
    <row r="4" spans="1:26" ht="15.75" customHeight="1" x14ac:dyDescent="0.2">
      <c r="A4" s="1"/>
      <c r="B4" s="1" t="s">
        <v>140</v>
      </c>
      <c r="C4" s="1" t="s">
        <v>163</v>
      </c>
      <c r="D4" s="1">
        <v>96</v>
      </c>
      <c r="E4" s="1">
        <v>120</v>
      </c>
      <c r="F4" s="1">
        <v>168</v>
      </c>
      <c r="G4" s="1">
        <v>204</v>
      </c>
      <c r="H4" s="1">
        <v>372</v>
      </c>
      <c r="I4" s="1">
        <v>8</v>
      </c>
      <c r="J4" s="1">
        <v>10</v>
      </c>
      <c r="K4" s="1">
        <v>14</v>
      </c>
      <c r="L4" s="1">
        <v>17</v>
      </c>
      <c r="M4" s="1">
        <v>31</v>
      </c>
      <c r="N4" s="1"/>
      <c r="O4" s="1" t="s">
        <v>179</v>
      </c>
      <c r="P4" s="1"/>
      <c r="Q4" s="1"/>
      <c r="R4" s="1"/>
      <c r="S4" s="1"/>
      <c r="T4" s="1"/>
      <c r="U4" s="1"/>
      <c r="V4" s="1"/>
      <c r="W4" s="1"/>
      <c r="X4" s="1"/>
      <c r="Y4" s="1"/>
      <c r="Z4" s="1"/>
    </row>
    <row r="5" spans="1:26" ht="15.75" customHeight="1" x14ac:dyDescent="0.2">
      <c r="A5" s="1"/>
      <c r="B5" s="1" t="s">
        <v>164</v>
      </c>
      <c r="C5" s="1" t="s">
        <v>163</v>
      </c>
      <c r="D5" s="1">
        <v>105.29032258064515</v>
      </c>
      <c r="E5" s="1">
        <v>131.61290322580643</v>
      </c>
      <c r="F5" s="1">
        <v>184.25806451612902</v>
      </c>
      <c r="G5" s="1">
        <v>223.74193548387098</v>
      </c>
      <c r="H5" s="1">
        <v>408</v>
      </c>
      <c r="I5" s="1">
        <v>8.7741935483870961</v>
      </c>
      <c r="J5" s="1">
        <v>10.96774193548387</v>
      </c>
      <c r="K5" s="1">
        <v>15.354838709677418</v>
      </c>
      <c r="L5" s="1">
        <v>18.64516129032258</v>
      </c>
      <c r="M5" s="1">
        <v>34</v>
      </c>
      <c r="N5" s="1"/>
      <c r="O5" s="1"/>
      <c r="P5" s="1"/>
      <c r="Q5" s="1"/>
      <c r="R5" s="1"/>
      <c r="S5" s="1"/>
      <c r="T5" s="1"/>
      <c r="U5" s="1"/>
      <c r="V5" s="1"/>
      <c r="W5" s="1"/>
      <c r="X5" s="1"/>
      <c r="Y5" s="1"/>
      <c r="Z5" s="1"/>
    </row>
    <row r="6" spans="1:26" ht="15.75" customHeight="1" x14ac:dyDescent="0.2">
      <c r="A6" s="1"/>
      <c r="B6" s="1" t="s">
        <v>165</v>
      </c>
      <c r="C6" s="1" t="s">
        <v>163</v>
      </c>
      <c r="D6" s="1">
        <v>117.67741935483872</v>
      </c>
      <c r="E6" s="1">
        <v>147.09677419354838</v>
      </c>
      <c r="F6" s="1">
        <v>205.93548387096774</v>
      </c>
      <c r="G6" s="1">
        <v>250.06451612903223</v>
      </c>
      <c r="H6" s="1">
        <v>456</v>
      </c>
      <c r="I6" s="1">
        <v>9.806451612903226</v>
      </c>
      <c r="J6" s="1">
        <v>12.258064516129032</v>
      </c>
      <c r="K6" s="1">
        <v>17.161290322580644</v>
      </c>
      <c r="L6" s="1">
        <v>20.838709677419352</v>
      </c>
      <c r="M6" s="1">
        <v>38</v>
      </c>
      <c r="N6" s="1"/>
      <c r="O6" s="1"/>
      <c r="P6" s="1"/>
      <c r="Q6" s="1"/>
      <c r="R6" s="1"/>
      <c r="S6" s="1"/>
      <c r="T6" s="1"/>
      <c r="U6" s="1"/>
      <c r="V6" s="1"/>
      <c r="W6" s="1"/>
      <c r="X6" s="1"/>
      <c r="Y6" s="1"/>
      <c r="Z6" s="1"/>
    </row>
    <row r="7" spans="1:26" ht="15.75" customHeight="1" x14ac:dyDescent="0.2">
      <c r="A7" s="1"/>
      <c r="B7" s="1" t="s">
        <v>166</v>
      </c>
      <c r="C7" s="1" t="s">
        <v>163</v>
      </c>
      <c r="D7" s="1">
        <v>130.06451612903226</v>
      </c>
      <c r="E7" s="1">
        <v>162.58064516129033</v>
      </c>
      <c r="F7" s="1">
        <v>227.61290322580646</v>
      </c>
      <c r="G7" s="1">
        <v>276.38709677419354</v>
      </c>
      <c r="H7" s="1">
        <v>504</v>
      </c>
      <c r="I7" s="1">
        <v>10.838709677419354</v>
      </c>
      <c r="J7" s="1">
        <v>13.548387096774194</v>
      </c>
      <c r="K7" s="1">
        <v>18.967741935483872</v>
      </c>
      <c r="L7" s="1">
        <v>23.032258064516128</v>
      </c>
      <c r="M7" s="1">
        <v>42</v>
      </c>
      <c r="N7" s="1"/>
      <c r="O7" s="1"/>
      <c r="P7" s="1"/>
      <c r="Q7" s="1"/>
      <c r="R7" s="1"/>
      <c r="S7" s="1"/>
      <c r="T7" s="1"/>
      <c r="U7" s="1"/>
      <c r="V7" s="1"/>
      <c r="W7" s="1"/>
      <c r="X7" s="1"/>
      <c r="Y7" s="1"/>
      <c r="Z7" s="1"/>
    </row>
    <row r="8" spans="1:26" ht="15.75" customHeight="1" x14ac:dyDescent="0.2">
      <c r="A8" s="1"/>
      <c r="B8" s="1" t="s">
        <v>167</v>
      </c>
      <c r="C8" s="1" t="s">
        <v>163</v>
      </c>
      <c r="D8" s="1">
        <v>142.45161290322579</v>
      </c>
      <c r="E8" s="1">
        <v>178.06451612903226</v>
      </c>
      <c r="F8" s="1">
        <v>249.29032258064515</v>
      </c>
      <c r="G8" s="1">
        <v>302.70967741935482</v>
      </c>
      <c r="H8" s="1">
        <v>552</v>
      </c>
      <c r="I8" s="1">
        <v>11.870967741935484</v>
      </c>
      <c r="J8" s="1">
        <v>14.838709677419354</v>
      </c>
      <c r="K8" s="1">
        <v>20.774193548387096</v>
      </c>
      <c r="L8" s="1">
        <v>25.2258064516129</v>
      </c>
      <c r="M8" s="1">
        <v>46</v>
      </c>
      <c r="N8" s="1"/>
      <c r="O8" s="1"/>
      <c r="P8" s="1"/>
      <c r="Q8" s="1"/>
      <c r="R8" s="1"/>
      <c r="S8" s="1"/>
      <c r="T8" s="1"/>
      <c r="U8" s="1"/>
      <c r="V8" s="1"/>
      <c r="W8" s="1"/>
      <c r="X8" s="1"/>
      <c r="Y8" s="1"/>
      <c r="Z8" s="1"/>
    </row>
    <row r="9" spans="1:26" ht="15.75" customHeight="1" x14ac:dyDescent="0.2">
      <c r="A9" s="1"/>
      <c r="B9" s="1" t="s">
        <v>168</v>
      </c>
      <c r="C9" s="1" t="s">
        <v>163</v>
      </c>
      <c r="D9" s="1">
        <v>154.83870967741933</v>
      </c>
      <c r="E9" s="1">
        <v>193.54838709677421</v>
      </c>
      <c r="F9" s="1">
        <v>270.96774193548384</v>
      </c>
      <c r="G9" s="1">
        <v>329.0322580645161</v>
      </c>
      <c r="H9" s="1">
        <v>600</v>
      </c>
      <c r="I9" s="1">
        <v>12.903225806451612</v>
      </c>
      <c r="J9" s="1">
        <v>16.129032258064516</v>
      </c>
      <c r="K9" s="1">
        <v>22.58064516129032</v>
      </c>
      <c r="L9" s="1">
        <v>27.419354838709676</v>
      </c>
      <c r="M9" s="1">
        <v>50</v>
      </c>
      <c r="N9" s="1"/>
      <c r="O9" s="1"/>
      <c r="P9" s="1"/>
      <c r="Q9" s="1"/>
      <c r="R9" s="1"/>
      <c r="S9" s="1"/>
      <c r="T9" s="1"/>
      <c r="U9" s="1"/>
      <c r="V9" s="1"/>
      <c r="W9" s="1"/>
      <c r="X9" s="1"/>
      <c r="Y9" s="1"/>
      <c r="Z9" s="1"/>
    </row>
    <row r="10" spans="1:26" ht="15.75" customHeight="1" x14ac:dyDescent="0.2">
      <c r="A10" s="1"/>
      <c r="B10" s="1" t="s">
        <v>169</v>
      </c>
      <c r="C10" s="1" t="s">
        <v>170</v>
      </c>
      <c r="D10" s="1">
        <v>19.826086956521738</v>
      </c>
      <c r="E10" s="1">
        <v>69.391304347826093</v>
      </c>
      <c r="F10" s="1">
        <v>168.52173913043478</v>
      </c>
      <c r="G10" s="1">
        <v>327.13043478260869</v>
      </c>
      <c r="H10" s="1">
        <v>456</v>
      </c>
      <c r="I10" s="1">
        <v>1.6521739130434783</v>
      </c>
      <c r="J10" s="1">
        <v>5.7826086956521738</v>
      </c>
      <c r="K10" s="1">
        <v>14.043478260869565</v>
      </c>
      <c r="L10" s="1">
        <v>27.260869565217391</v>
      </c>
      <c r="M10" s="1">
        <v>38</v>
      </c>
      <c r="N10" s="1"/>
      <c r="O10" s="1"/>
      <c r="P10" s="1"/>
      <c r="Q10" s="1"/>
      <c r="R10" s="1"/>
      <c r="S10" s="1"/>
      <c r="T10" s="1"/>
      <c r="U10" s="1"/>
      <c r="V10" s="1"/>
      <c r="W10" s="1"/>
      <c r="X10" s="1"/>
      <c r="Y10" s="1"/>
      <c r="Z10" s="1"/>
    </row>
    <row r="11" spans="1:26" ht="15.75" customHeight="1" x14ac:dyDescent="0.2">
      <c r="A11" s="1"/>
      <c r="B11" s="1" t="s">
        <v>142</v>
      </c>
      <c r="C11" s="1" t="s">
        <v>170</v>
      </c>
      <c r="D11" s="1">
        <v>20.869565217391305</v>
      </c>
      <c r="E11" s="1">
        <v>73.043478260869563</v>
      </c>
      <c r="F11" s="1">
        <v>177.39130434782606</v>
      </c>
      <c r="G11" s="1">
        <v>344.3478260869565</v>
      </c>
      <c r="H11" s="1">
        <v>480</v>
      </c>
      <c r="I11" s="1">
        <v>1.7391304347826086</v>
      </c>
      <c r="J11" s="1">
        <v>6.0869565217391308</v>
      </c>
      <c r="K11" s="1">
        <v>14.782608695652172</v>
      </c>
      <c r="L11" s="1">
        <v>28.695652173913043</v>
      </c>
      <c r="M11" s="1">
        <v>40</v>
      </c>
      <c r="N11" s="1"/>
      <c r="O11" s="1"/>
      <c r="P11" s="1"/>
      <c r="Q11" s="1"/>
      <c r="R11" s="1"/>
      <c r="S11" s="1"/>
      <c r="T11" s="1"/>
      <c r="U11" s="1"/>
      <c r="V11" s="1"/>
      <c r="W11" s="1"/>
      <c r="X11" s="1"/>
      <c r="Y11" s="1"/>
      <c r="Z11" s="1"/>
    </row>
    <row r="12" spans="1:26" ht="15.75" customHeight="1" x14ac:dyDescent="0.2">
      <c r="A12" s="1"/>
      <c r="B12" s="1" t="s">
        <v>171</v>
      </c>
      <c r="C12" s="1" t="s">
        <v>170</v>
      </c>
      <c r="D12" s="1">
        <v>22.956521739130437</v>
      </c>
      <c r="E12" s="1">
        <v>80.34782608695653</v>
      </c>
      <c r="F12" s="1">
        <v>195.13043478260869</v>
      </c>
      <c r="G12" s="1">
        <v>378.78260869565219</v>
      </c>
      <c r="H12" s="1">
        <v>528</v>
      </c>
      <c r="I12" s="1">
        <v>1.9130434782608696</v>
      </c>
      <c r="J12" s="1">
        <v>6.6956521739130439</v>
      </c>
      <c r="K12" s="1">
        <v>16.260869565217391</v>
      </c>
      <c r="L12" s="1">
        <v>31.565217391304348</v>
      </c>
      <c r="M12" s="1">
        <v>44</v>
      </c>
      <c r="N12" s="1"/>
      <c r="O12" s="1"/>
      <c r="P12" s="1"/>
      <c r="Q12" s="1"/>
      <c r="R12" s="1"/>
      <c r="S12" s="1"/>
      <c r="T12" s="1"/>
      <c r="U12" s="1"/>
      <c r="V12" s="1"/>
      <c r="W12" s="1"/>
      <c r="X12" s="1"/>
      <c r="Y12" s="1"/>
      <c r="Z12" s="1"/>
    </row>
    <row r="13" spans="1:26" ht="15.75" customHeight="1" x14ac:dyDescent="0.2">
      <c r="A13" s="1"/>
      <c r="B13" s="1" t="s">
        <v>172</v>
      </c>
      <c r="C13" s="1" t="s">
        <v>170</v>
      </c>
      <c r="D13" s="1">
        <v>24</v>
      </c>
      <c r="E13" s="1">
        <v>84</v>
      </c>
      <c r="F13" s="1">
        <v>204</v>
      </c>
      <c r="G13" s="1">
        <v>396</v>
      </c>
      <c r="H13" s="1">
        <v>552</v>
      </c>
      <c r="I13" s="1">
        <v>2</v>
      </c>
      <c r="J13" s="1">
        <v>7</v>
      </c>
      <c r="K13" s="1">
        <v>17</v>
      </c>
      <c r="L13" s="1">
        <v>33</v>
      </c>
      <c r="M13" s="1">
        <v>46</v>
      </c>
      <c r="N13" s="1"/>
      <c r="O13" s="1"/>
      <c r="P13" s="1"/>
      <c r="Q13" s="1"/>
      <c r="R13" s="1"/>
      <c r="S13" s="1"/>
      <c r="T13" s="1"/>
      <c r="U13" s="1"/>
      <c r="V13" s="1"/>
      <c r="W13" s="1"/>
      <c r="X13" s="1"/>
      <c r="Y13" s="1"/>
      <c r="Z13" s="1"/>
    </row>
    <row r="14" spans="1:26" ht="15.75" customHeight="1" x14ac:dyDescent="0.2">
      <c r="A14" s="1"/>
      <c r="B14" s="1" t="s">
        <v>173</v>
      </c>
      <c r="C14" s="1" t="s">
        <v>163</v>
      </c>
      <c r="D14" s="1">
        <v>48</v>
      </c>
      <c r="E14" s="1">
        <v>108</v>
      </c>
      <c r="F14" s="1">
        <v>168</v>
      </c>
      <c r="G14" s="1">
        <v>228</v>
      </c>
      <c r="H14" s="1">
        <v>288</v>
      </c>
      <c r="I14" s="1">
        <v>4</v>
      </c>
      <c r="J14" s="1">
        <v>9</v>
      </c>
      <c r="K14" s="1">
        <v>14</v>
      </c>
      <c r="L14" s="1">
        <v>19</v>
      </c>
      <c r="M14" s="1">
        <v>24</v>
      </c>
      <c r="N14" s="1"/>
      <c r="O14" s="1"/>
      <c r="P14" s="1"/>
      <c r="Q14" s="1"/>
      <c r="R14" s="1"/>
      <c r="S14" s="1"/>
      <c r="T14" s="1"/>
      <c r="U14" s="1"/>
      <c r="V14" s="1"/>
      <c r="W14" s="1"/>
      <c r="X14" s="1"/>
      <c r="Y14" s="1"/>
      <c r="Z14" s="1"/>
    </row>
    <row r="15" spans="1:26" ht="15.75" customHeight="1" x14ac:dyDescent="0.2">
      <c r="A15" s="1"/>
      <c r="B15" s="1" t="s">
        <v>174</v>
      </c>
      <c r="C15" s="1" t="s">
        <v>163</v>
      </c>
      <c r="D15" s="1">
        <v>72</v>
      </c>
      <c r="E15" s="1">
        <v>156</v>
      </c>
      <c r="F15" s="1">
        <v>240</v>
      </c>
      <c r="G15" s="1">
        <v>312</v>
      </c>
      <c r="H15" s="1">
        <v>408</v>
      </c>
      <c r="I15" s="1">
        <v>6</v>
      </c>
      <c r="J15" s="1">
        <v>13</v>
      </c>
      <c r="K15" s="1">
        <v>20</v>
      </c>
      <c r="L15" s="1">
        <v>26</v>
      </c>
      <c r="M15" s="1">
        <v>34</v>
      </c>
      <c r="N15" s="1"/>
      <c r="O15" s="1"/>
      <c r="P15" s="1"/>
      <c r="Q15" s="1"/>
      <c r="R15" s="1"/>
      <c r="S15" s="1"/>
      <c r="T15" s="1"/>
      <c r="U15" s="1"/>
      <c r="V15" s="1"/>
      <c r="W15" s="1"/>
      <c r="X15" s="1"/>
      <c r="Y15" s="1"/>
      <c r="Z15" s="1"/>
    </row>
    <row r="16" spans="1:26" ht="15.75" customHeight="1" x14ac:dyDescent="0.2">
      <c r="A16" s="1"/>
      <c r="B16" s="1" t="s">
        <v>175</v>
      </c>
      <c r="C16" s="1" t="s">
        <v>163</v>
      </c>
      <c r="D16" s="1">
        <v>96</v>
      </c>
      <c r="E16" s="1">
        <v>192</v>
      </c>
      <c r="F16" s="1">
        <v>300</v>
      </c>
      <c r="G16" s="1">
        <v>384</v>
      </c>
      <c r="H16" s="1">
        <v>480</v>
      </c>
      <c r="I16" s="1">
        <v>8</v>
      </c>
      <c r="J16" s="1">
        <v>16</v>
      </c>
      <c r="K16" s="1">
        <v>25</v>
      </c>
      <c r="L16" s="1">
        <v>32</v>
      </c>
      <c r="M16" s="1">
        <v>40</v>
      </c>
      <c r="N16" s="1"/>
      <c r="O16" s="1"/>
      <c r="P16" s="1"/>
      <c r="Q16" s="1"/>
      <c r="R16" s="1"/>
      <c r="S16" s="1"/>
      <c r="T16" s="1"/>
      <c r="U16" s="1"/>
      <c r="V16" s="1"/>
      <c r="W16" s="1"/>
      <c r="X16" s="1"/>
      <c r="Y16" s="1"/>
      <c r="Z16" s="1"/>
    </row>
    <row r="17" spans="1:26" ht="15.75" customHeight="1" x14ac:dyDescent="0.2">
      <c r="A17" s="1"/>
      <c r="B17" s="1" t="s">
        <v>176</v>
      </c>
      <c r="C17" s="1" t="s">
        <v>163</v>
      </c>
      <c r="D17" s="1">
        <v>120</v>
      </c>
      <c r="E17" s="1">
        <v>228</v>
      </c>
      <c r="F17" s="1">
        <v>360</v>
      </c>
      <c r="G17" s="1">
        <v>492</v>
      </c>
      <c r="H17" s="1">
        <v>612</v>
      </c>
      <c r="I17" s="1">
        <v>10</v>
      </c>
      <c r="J17" s="1">
        <v>19</v>
      </c>
      <c r="K17" s="1">
        <v>30</v>
      </c>
      <c r="L17" s="1">
        <v>41</v>
      </c>
      <c r="M17" s="1">
        <v>51</v>
      </c>
      <c r="N17" s="1"/>
      <c r="O17" s="1"/>
      <c r="P17" s="1"/>
      <c r="Q17" s="1"/>
      <c r="R17" s="1"/>
      <c r="S17" s="1"/>
      <c r="T17" s="1"/>
      <c r="U17" s="1"/>
      <c r="V17" s="1"/>
      <c r="W17" s="1"/>
      <c r="X17" s="1"/>
      <c r="Y17" s="1"/>
      <c r="Z17" s="1"/>
    </row>
    <row r="18" spans="1:26" ht="15.75" customHeight="1" x14ac:dyDescent="0.2">
      <c r="A18" s="1"/>
      <c r="B18" s="1" t="s">
        <v>177</v>
      </c>
      <c r="C18" s="1" t="s">
        <v>163</v>
      </c>
      <c r="D18" s="1">
        <v>132</v>
      </c>
      <c r="E18" s="1">
        <v>156</v>
      </c>
      <c r="F18" s="1">
        <v>252</v>
      </c>
      <c r="G18" s="1">
        <v>288</v>
      </c>
      <c r="H18" s="1">
        <v>516</v>
      </c>
      <c r="I18" s="1">
        <v>11</v>
      </c>
      <c r="J18" s="1">
        <v>13</v>
      </c>
      <c r="K18" s="1">
        <v>21</v>
      </c>
      <c r="L18" s="1">
        <v>24</v>
      </c>
      <c r="M18" s="1">
        <v>43</v>
      </c>
      <c r="N18" s="1"/>
      <c r="O18" s="1"/>
      <c r="P18" s="1"/>
      <c r="Q18" s="1"/>
      <c r="R18" s="1"/>
      <c r="S18" s="1"/>
      <c r="T18" s="1"/>
      <c r="U18" s="1"/>
      <c r="V18" s="1"/>
      <c r="W18" s="1"/>
      <c r="X18" s="1"/>
      <c r="Y18" s="1"/>
      <c r="Z18" s="1"/>
    </row>
    <row r="19" spans="1:26" ht="15.75" customHeight="1" x14ac:dyDescent="0.2">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5.75" customHeight="1" x14ac:dyDescent="0.2">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5.7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5.7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x14ac:dyDescent="0.2">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75"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x14ac:dyDescent="0.2">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5.7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1.Explanation_and_contents</vt:lpstr>
      <vt:lpstr>2.Volt-amp-watt</vt:lpstr>
      <vt:lpstr>3.Effective battery capacity</vt:lpstr>
      <vt:lpstr>4.Runtime</vt:lpstr>
      <vt:lpstr>Validation</vt:lpstr>
      <vt:lpstr>Schakelin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Daan Kik</dc:creator>
  <cp:lastModifiedBy>daan kik</cp:lastModifiedBy>
  <dcterms:created xsi:type="dcterms:W3CDTF">2019-08-13T13:10:12Z</dcterms:created>
  <dcterms:modified xsi:type="dcterms:W3CDTF">2025-01-14T13:23:41Z</dcterms:modified>
</cp:coreProperties>
</file>